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WaxTQ8N8tq4had3IdDN8/dSNwqrUsAg6oWIrCYjVI7yFAP5cUbusKQ/3ekCPPx6kBRUQF5eKo8qzJLoNOo4Iw==" workbookSaltValue="3cd1vZOUttBaFvEOSa+xO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Y12" i="11"/>
  <c r="T10" i="21"/>
  <c r="ES19" i="8"/>
  <c r="G18" i="12"/>
  <c r="C18" i="7"/>
  <c r="R8" i="9"/>
  <c r="X12" i="21" s="1"/>
  <c r="BM19" i="8"/>
  <c r="AL13" i="16"/>
  <c r="BJ17" i="11"/>
  <c r="V11" i="16"/>
  <c r="BL12" i="11"/>
  <c r="S13" i="16"/>
  <c r="V12" i="21"/>
  <c r="P13" i="16"/>
  <c r="AM13" i="20"/>
  <c r="Z13" i="17"/>
  <c r="C11" i="6"/>
  <c r="M18" i="2"/>
  <c r="H13" i="12"/>
  <c r="F13" i="7"/>
  <c r="T13" i="12"/>
  <c r="BI10" i="11"/>
  <c r="BJ11" i="11"/>
  <c r="AP15" i="20"/>
  <c r="R17" i="20"/>
  <c r="R18" i="20" s="1"/>
  <c r="T17" i="16"/>
  <c r="BU11" i="17"/>
  <c r="BU10" i="17"/>
  <c r="BW12" i="20"/>
  <c r="BW11" i="20"/>
  <c r="BW10" i="20"/>
  <c r="BV9" i="16"/>
  <c r="AZ12" i="11"/>
  <c r="AZ11" i="11"/>
  <c r="X17" i="17"/>
  <c r="S15" i="16"/>
  <c r="P15" i="17"/>
  <c r="BF12" i="11"/>
  <c r="BL15" i="11"/>
  <c r="BL10" i="11"/>
  <c r="R11" i="14"/>
  <c r="BH10" i="16"/>
  <c r="Q15" i="17"/>
  <c r="BM17" i="11"/>
  <c r="BF15" i="11"/>
  <c r="S17" i="17"/>
  <c r="BM9" i="11"/>
  <c r="BH12" i="16"/>
  <c r="BK10" i="11"/>
  <c r="BG10" i="8"/>
  <c r="BD9" i="8"/>
  <c r="BA13" i="8"/>
  <c r="L10" i="2"/>
  <c r="I19" i="8"/>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O17" i="11" l="1"/>
  <c r="B17" i="6"/>
  <c r="BM18" i="16"/>
  <c r="AV18" i="21"/>
  <c r="AH13" i="16"/>
  <c r="G12" i="12"/>
  <c r="BG12" i="8"/>
  <c r="K12" i="7" s="1"/>
  <c r="AC10" i="11"/>
  <c r="E9" i="6"/>
  <c r="K9" i="12" s="1"/>
  <c r="K9" i="7"/>
  <c r="J10" i="2"/>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S12" i="14"/>
  <c r="V12" i="14" s="1"/>
  <c r="BU16" i="17"/>
  <c r="U10" i="17"/>
  <c r="BV11" i="16"/>
  <c r="BV12" i="16"/>
  <c r="BV17" i="16"/>
  <c r="T15" i="16"/>
  <c r="BK17" i="11"/>
  <c r="BG15" i="11"/>
  <c r="BJ12" i="11"/>
  <c r="S16" i="14"/>
  <c r="V16" i="14" s="1"/>
  <c r="S9" i="17"/>
  <c r="AO9" i="11"/>
  <c r="BF16" i="11"/>
  <c r="BH15" i="16"/>
  <c r="BH9" i="16"/>
  <c r="F15" i="16"/>
  <c r="BL15" i="16" s="1"/>
  <c r="BE12" i="21"/>
  <c r="BE9" i="13"/>
  <c r="AL9" i="11"/>
  <c r="E11" i="6"/>
  <c r="X15" i="17"/>
  <c r="AZ16" i="11"/>
  <c r="AA16" i="16"/>
  <c r="BU12" i="17"/>
  <c r="BU17" i="17"/>
  <c r="BV10" i="16"/>
  <c r="BU9" i="17"/>
  <c r="BW15" i="20"/>
  <c r="BV15" i="16"/>
  <c r="BW16" i="20"/>
  <c r="BV16" i="16"/>
  <c r="BW17" i="20"/>
  <c r="BW9" i="20"/>
  <c r="BU15" i="17"/>
  <c r="AP17" i="20"/>
  <c r="BM15" i="11"/>
  <c r="BH17" i="11"/>
  <c r="BL11" i="11"/>
  <c r="BG9" i="11"/>
  <c r="BI17" i="11"/>
  <c r="R10" i="21"/>
  <c r="R13" i="21" s="1"/>
  <c r="V9" i="11"/>
  <c r="Q10" i="21"/>
  <c r="V11" i="11"/>
  <c r="BK15" i="11"/>
  <c r="S17" i="16"/>
  <c r="BF17" i="11"/>
  <c r="Q17" i="20"/>
  <c r="Q18" i="20" s="1"/>
  <c r="BH15" i="11"/>
  <c r="V15" i="11"/>
  <c r="AP16" i="20"/>
  <c r="X17" i="20"/>
  <c r="BJ15" i="11"/>
  <c r="BI15" i="11"/>
  <c r="S9" i="14"/>
  <c r="V9" i="14" s="1"/>
  <c r="BH9" i="11"/>
  <c r="BM12" i="11"/>
  <c r="AP10" i="21"/>
  <c r="X9" i="17"/>
  <c r="BK11" i="11"/>
  <c r="X11" i="17"/>
  <c r="BK9" i="11"/>
  <c r="BF10" i="11"/>
  <c r="BK12" i="11"/>
  <c r="BK13" i="11" s="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I20" i="17"/>
  <c r="AC20" i="11"/>
  <c r="J20" i="11"/>
  <c r="S20" i="16"/>
  <c r="AT20" i="16"/>
  <c r="AN20" i="11"/>
  <c r="AT20" i="20"/>
  <c r="AN20" i="21"/>
  <c r="AK20" i="17"/>
  <c r="J20" i="21"/>
  <c r="BC20" i="16"/>
  <c r="T20" i="17"/>
  <c r="L20" i="17"/>
  <c r="BD20" i="16"/>
  <c r="AV20" i="16"/>
  <c r="AB20" i="21"/>
  <c r="BQ20" i="16"/>
  <c r="AG20" i="16"/>
  <c r="BB20" i="16"/>
  <c r="O20" i="21"/>
  <c r="AW20" i="2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D20" i="21"/>
  <c r="F20" i="11"/>
  <c r="AT20" i="17"/>
  <c r="S20" i="17"/>
  <c r="X20" i="21"/>
  <c r="J20" i="16"/>
  <c r="AY20" i="16"/>
  <c r="AX20" i="16"/>
  <c r="K20" i="16"/>
  <c r="V20" i="21"/>
  <c r="AP20" i="17"/>
  <c r="Y20" i="16"/>
  <c r="O20" i="17"/>
  <c r="G20" i="12"/>
  <c r="M20" i="21"/>
  <c r="U20" i="11"/>
  <c r="W20" i="11"/>
  <c r="AF20" i="17"/>
  <c r="F20" i="17"/>
  <c r="P20" i="17"/>
  <c r="AB20" i="16"/>
  <c r="Q20" i="1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<sst xmlns="http://schemas.openxmlformats.org/spreadsheetml/2006/main" count="2066" uniqueCount="905">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</sst>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bg4r6322BxXHvkngKZ50LGdNWbx/lHJ8/ynQ6pUOTdh6V4kkWbGPzt2mfbhu5XhvzVYwvW7m2PcrtsHw4akzw==" saltValue="3rafrArPZxeAYXtm2u9x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33.930862831858406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52</v>
      </c>
      <c r="D10" s="229">
        <f>IF(ISNUMBER(Datos!I10),Datos!I10," - ")</f>
        <v>52</v>
      </c>
      <c r="E10" s="230">
        <f>IF(ISNUMBER(Datos!J10),Datos!J10," - ")</f>
        <v>24</v>
      </c>
      <c r="F10" s="230">
        <f>IF(ISNUMBER(Datos!K10),Datos!K10," - ")</f>
        <v>25</v>
      </c>
      <c r="G10" s="1189" t="str">
        <f>IF(Datos!E10&lt;&gt;"",Datos!E10,Datos!D10)</f>
        <v>37</v>
      </c>
      <c r="H10" s="231">
        <f>IF(ISNUMBER(Datos!L10),Datos!L10," - ")</f>
        <v>51</v>
      </c>
      <c r="I10" s="1199" t="str">
        <f>IF(ISNUMBER(Datos!AS10/Datos!BM10),Datos!AS10/Datos!BM10," - ")</f>
        <v xml:space="preserve"> - </v>
      </c>
      <c r="J10" s="1200">
        <f>IF(ISNUMBER(Datos!BY10/Datos!CN10),Datos!BY10/Datos!CN10," - ")</f>
        <v>0</v>
      </c>
      <c r="K10" s="234">
        <f t="shared" ref="K10:K12" si="1">IF(ISNUMBER((E10-F10)/C10),(E10-F10)/C10," - ")</f>
        <v>-1.9230769230769232E-2</v>
      </c>
      <c r="L10" s="1201">
        <f>IF(ISNUMBER(NºAsuntos!I10/NºAsuntos!G10),(NºAsuntos!I10/NºAsuntos!G10)*11," - ")</f>
        <v>22.44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52</v>
      </c>
      <c r="D13" s="1206">
        <f>SUBTOTAL(9,D9:D12)</f>
        <v>52</v>
      </c>
      <c r="E13" s="1207">
        <f>SUBTOTAL(9,E9:E12)</f>
        <v>24</v>
      </c>
      <c r="F13" s="1208">
        <f>SUBTOTAL(9,F9:F12)</f>
        <v>25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2460</v>
      </c>
      <c r="D15" s="229">
        <f>IF(ISNUMBER(IF(D_I="SI",Datos!I15,Datos!I15+Datos!AC15)),IF(D_I="SI",Datos!I15,Datos!I15+Datos!AC15)," - ")</f>
        <v>2342</v>
      </c>
      <c r="E15" s="230">
        <f>IF(ISNUMBER(IF(D_I="SI",Datos!J15,Datos!J15+Datos!AD15)),IF(D_I="SI",Datos!J15,Datos!J15+Datos!AD15)," - ")</f>
        <v>1772</v>
      </c>
      <c r="F15" s="230">
        <f>IF(ISNUMBER(IF(D_I="SI",Datos!K15,Datos!K15+Datos!AE15)),IF(D_I="SI",Datos!K15,Datos!K15+Datos!AE15)," - ")</f>
        <v>1908</v>
      </c>
      <c r="G15" s="1189" t="str">
        <f>IF(Datos!E15&lt;&gt;"",Datos!E15,Datos!D15)</f>
        <v>03</v>
      </c>
      <c r="H15" s="231">
        <f>IF(ISNUMBER(IF(D_I="SI",Datos!L15,Datos!L15+Datos!AF15)),IF(D_I="SI",Datos!L15,Datos!L15+Datos!AF15)," - ")</f>
        <v>2324</v>
      </c>
      <c r="I15" s="1199" t="str">
        <f>IF(ISNUMBER(Datos!AS15/Datos!BM15),Datos!AS15/Datos!BM15," - ")</f>
        <v xml:space="preserve"> - </v>
      </c>
      <c r="J15" s="1200">
        <f>IF(ISNUMBER(Datos!BY15/Datos!CN15),Datos!BY15/Datos!CN15," - ")</f>
        <v>0</v>
      </c>
      <c r="K15" s="234">
        <f t="shared" ref="K15:K17" si="3">IF(ISNUMBER((E15-F15)/C15),(E15-F15)/C15," - ")</f>
        <v>-5.5284552845528454E-2</v>
      </c>
      <c r="L15" s="1201">
        <f>IF(ISNUMBER(NºAsuntos!I15/NºAsuntos!G15),(NºAsuntos!I15/NºAsuntos!G15)*11," - ")</f>
        <v>13.39832285115304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2</v>
      </c>
      <c r="D16" s="229">
        <f>IF(ISNUMBER(IF(D_I="SI",Datos!I16,Datos!I16+Datos!AC16)),IF(D_I="SI",Datos!I16,Datos!I16+Datos!AC16)," - ")</f>
        <v>2</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2</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155</v>
      </c>
      <c r="D17" s="229">
        <f>IF(ISNUMBER(IF(D_I="SI",Datos!I17,Datos!I17+Datos!AC17)),IF(D_I="SI",Datos!I17,Datos!I17+Datos!AC17)," - ")</f>
        <v>155</v>
      </c>
      <c r="E17" s="230">
        <f>IF(ISNUMBER(IF(D_I="SI",Datos!J17,Datos!J17+Datos!AD17)),IF(D_I="SI",Datos!J17,Datos!J17+Datos!AD17)," - ")</f>
        <v>446</v>
      </c>
      <c r="F17" s="230">
        <f>IF(ISNUMBER(IF(D_I="SI",Datos!K17,Datos!K17+Datos!AE17)),IF(D_I="SI",Datos!K17,Datos!K17+Datos!AE17)," - ")</f>
        <v>409</v>
      </c>
      <c r="G17" s="1189" t="str">
        <f>IF(Datos!E17&lt;&gt;"",Datos!E17,Datos!D17)</f>
        <v>37</v>
      </c>
      <c r="H17" s="231">
        <f>IF(ISNUMBER(IF(D_I="SI",Datos!L17,Datos!L17+Datos!AF17)),IF(D_I="SI",Datos!L17,Datos!L17+Datos!AF17)," - ")</f>
        <v>192</v>
      </c>
      <c r="I17" s="1199" t="str">
        <f>IF(ISNUMBER(Datos!AS17/Datos!BM17),Datos!AS17/Datos!BM17," - ")</f>
        <v xml:space="preserve"> - </v>
      </c>
      <c r="J17" s="1200" t="str">
        <f>IF(ISNUMBER((Datos!BY17+Datos!BZ17)/Datos!CN17),(Datos!BY17+Datos!BZ17)/Datos!CN17," - ")</f>
        <v xml:space="preserve"> - </v>
      </c>
      <c r="K17" s="234">
        <f t="shared" si="3"/>
        <v>0.23870967741935484</v>
      </c>
      <c r="L17" s="1201">
        <f>IF(ISNUMBER(NºAsuntos!I17/NºAsuntos!G17),(NºAsuntos!I17/NºAsuntos!G17)*11," - ")</f>
        <v>5.1638141809290952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2617</v>
      </c>
      <c r="D18" s="1206">
        <f>SUBTOTAL(9,D15:D17)</f>
        <v>2499</v>
      </c>
      <c r="E18" s="1207">
        <f>SUBTOTAL(9,E15:E17)</f>
        <v>2218</v>
      </c>
      <c r="F18" s="1207">
        <f>SUBTOTAL(9,F15:F17)</f>
        <v>2317</v>
      </c>
      <c r="G18" s="1209" t="str">
        <f ca="1">INDIRECT(CONCATENATE("G",ROW()-1))</f>
        <v>37</v>
      </c>
      <c r="H18" s="1210">
        <f ca="1">SUMIF(G$14:G17,G18,H$14:H17)</f>
        <v>192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2669</v>
      </c>
      <c r="D19" s="1228">
        <f>SUBTOTAL(9,D9:D18)</f>
        <v>2551</v>
      </c>
      <c r="E19" s="1229">
        <f>SUBTOTAL(9,E9:E18)</f>
        <v>2242</v>
      </c>
      <c r="F19" s="1229">
        <f>SUBTOTAL(9,F9:F18)</f>
        <v>2342</v>
      </c>
      <c r="G19" s="1230"/>
      <c r="H19" s="1231">
        <f ca="1">SUMIF(B9:B18,"TOTAL",H9:H18)</f>
        <v>192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N5IuceK3EiqTOuufE+EthGwZ3nQUUJw9HtVm0U+9UkAdaCs/jtSUiPF900FHNeLH0AruuErgebgOVN7Pb8Q2TQ==" saltValue="xBTzKwu9lQcOvW4TtCLL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GQDJMQZyAzO/Zex8QGtxj9rpd77QRXGCaBDQfM3G1DooTAq9MTpxW9TraGStPZn0wNorda0QVcEI/97T8gceQ==" saltValue="9f6/YoZVnaIDuZElKvAU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4791</v>
      </c>
      <c r="J9" s="185">
        <v>1642</v>
      </c>
      <c r="K9" s="185">
        <v>1704</v>
      </c>
      <c r="L9" s="185">
        <v>5405</v>
      </c>
      <c r="M9" s="185">
        <v>328</v>
      </c>
      <c r="N9" s="185">
        <v>799</v>
      </c>
      <c r="O9" s="185">
        <v>1015</v>
      </c>
      <c r="P9" s="185">
        <v>345</v>
      </c>
      <c r="Q9" s="185">
        <v>518</v>
      </c>
      <c r="R9" s="185">
        <v>6304</v>
      </c>
      <c r="S9" s="185">
        <v>3814</v>
      </c>
      <c r="T9" s="185">
        <v>1402</v>
      </c>
      <c r="U9" s="185">
        <v>1328</v>
      </c>
      <c r="V9" s="185">
        <v>3888</v>
      </c>
      <c r="W9" s="185">
        <v>297</v>
      </c>
      <c r="X9" s="192">
        <v>629</v>
      </c>
      <c r="Y9" s="195">
        <v>173</v>
      </c>
      <c r="Z9" s="185">
        <v>86</v>
      </c>
      <c r="AA9" s="185">
        <v>104</v>
      </c>
      <c r="AB9" s="185">
        <v>172</v>
      </c>
      <c r="AC9" s="185">
        <v>0</v>
      </c>
      <c r="AD9" s="185">
        <v>0</v>
      </c>
      <c r="AE9" s="185">
        <v>0</v>
      </c>
      <c r="AF9" s="192">
        <v>0</v>
      </c>
      <c r="AG9" s="195">
        <v>154</v>
      </c>
      <c r="AH9" s="185">
        <v>142</v>
      </c>
      <c r="AI9" s="185">
        <v>130</v>
      </c>
      <c r="AJ9" s="196">
        <v>166</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3968</v>
      </c>
      <c r="AZ9" s="124">
        <f>IF(ISNUMBER(IF(J_V="SI",T9,T9+AH9)),IF(J_V="SI",T9,T9+AH9)," - ")</f>
        <v>1544</v>
      </c>
      <c r="BA9" s="125">
        <f>IF(ISNUMBER(IF(J_V="SI",U9,U9+AI9)),IF(J_V="SI",U9,U9+AI9)," - ")</f>
        <v>1458</v>
      </c>
      <c r="BB9" s="125">
        <f>IF(ISNUMBER(IF(J_V="SI",V9,V9+AJ9)),IF(J_V="SI",V9,V9+AJ9)," - ")</f>
        <v>4054</v>
      </c>
      <c r="BC9" s="126">
        <f>IF(ISNUMBER(X9),X9," - ")</f>
        <v>629</v>
      </c>
      <c r="BD9" s="127">
        <f>IF(ISNUMBER(BA9/AZ9),BA9/AZ9," - ")</f>
        <v>0.94430051813471505</v>
      </c>
      <c r="BE9" s="128">
        <f>IF(ISNUMBER(BB9/BA9),BB9/BA9, " - ")</f>
        <v>2.7805212620027433</v>
      </c>
      <c r="BF9" s="128">
        <f>IF(ISNUMBER(BC9/BA9),BC9/BA9, " - ")</f>
        <v>0.43141289437585734</v>
      </c>
      <c r="BG9" s="200">
        <f>IF(ISNUMBER((AY9+AZ9)/BA9),(AY9+AZ9)/BA9," - ")</f>
        <v>3.7805212620027433</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52</v>
      </c>
      <c r="J10" s="185">
        <v>24</v>
      </c>
      <c r="K10" s="185">
        <v>25</v>
      </c>
      <c r="L10" s="185">
        <v>51</v>
      </c>
      <c r="M10" s="185">
        <v>5</v>
      </c>
      <c r="N10" s="185">
        <v>7</v>
      </c>
      <c r="O10" s="185">
        <v>4</v>
      </c>
      <c r="P10" s="185">
        <v>1</v>
      </c>
      <c r="Q10" s="185">
        <v>1</v>
      </c>
      <c r="R10" s="185">
        <v>43</v>
      </c>
      <c r="S10" s="185">
        <v>52</v>
      </c>
      <c r="T10" s="185">
        <v>15</v>
      </c>
      <c r="U10" s="185">
        <v>18</v>
      </c>
      <c r="V10" s="185">
        <v>43</v>
      </c>
      <c r="W10" s="185">
        <v>9</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52</v>
      </c>
      <c r="AZ10" s="130">
        <f t="shared" si="0"/>
        <v>15</v>
      </c>
      <c r="BA10" s="130">
        <f t="shared" si="0"/>
        <v>18</v>
      </c>
      <c r="BB10" s="130">
        <f t="shared" si="0"/>
        <v>43</v>
      </c>
      <c r="BC10" s="126">
        <f t="shared" si="0"/>
        <v>9</v>
      </c>
      <c r="BD10" s="127">
        <f>IF(ISNUMBER(BA10/AZ10),BA10/AZ10," - ")</f>
        <v>1.2</v>
      </c>
      <c r="BE10" s="128">
        <f>IF(ISNUMBER(BB10/BA10),BB10/BA10, " - ")</f>
        <v>2.3888888888888888</v>
      </c>
      <c r="BF10" s="128">
        <f>IF(ISNUMBER(BC10/BA10),BC10/BA10, " - ")</f>
        <v>0.5</v>
      </c>
      <c r="BG10" s="200">
        <f>IF(ISNUMBER((AY10+AZ10)/BA10),(AY10+AZ10)/BA10," - ")</f>
        <v>3.7222222222222223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v>
      </c>
      <c r="J12" s="187">
        <v>0</v>
      </c>
      <c r="K12" s="187">
        <v>0</v>
      </c>
      <c r="L12" s="187">
        <v>2</v>
      </c>
      <c r="M12" s="187">
        <v>0</v>
      </c>
      <c r="N12" s="187">
        <v>0</v>
      </c>
      <c r="O12" s="185">
        <v>0</v>
      </c>
      <c r="P12" s="187">
        <v>0</v>
      </c>
      <c r="Q12" s="187">
        <v>0</v>
      </c>
      <c r="R12" s="187">
        <v>30</v>
      </c>
      <c r="S12" s="187">
        <v>2</v>
      </c>
      <c r="T12" s="187">
        <v>0</v>
      </c>
      <c r="U12" s="187">
        <v>0</v>
      </c>
      <c r="V12" s="187">
        <v>2</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2</v>
      </c>
      <c r="AZ12" s="128">
        <f t="shared" si="1"/>
        <v>0</v>
      </c>
      <c r="BA12" s="128">
        <f t="shared" si="1"/>
        <v>0</v>
      </c>
      <c r="BB12" s="128">
        <f t="shared" si="1"/>
        <v>2</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4845</v>
      </c>
      <c r="J13" s="188">
        <f t="shared" si="6"/>
        <v>1666</v>
      </c>
      <c r="K13" s="188">
        <f t="shared" si="6"/>
        <v>1729</v>
      </c>
      <c r="L13" s="188">
        <f t="shared" si="6"/>
        <v>5458</v>
      </c>
      <c r="M13" s="188">
        <f t="shared" si="6"/>
        <v>333</v>
      </c>
      <c r="N13" s="188">
        <f t="shared" si="6"/>
        <v>806</v>
      </c>
      <c r="O13" s="188">
        <f t="shared" si="6"/>
        <v>1019</v>
      </c>
      <c r="P13" s="188">
        <f t="shared" si="6"/>
        <v>346</v>
      </c>
      <c r="Q13" s="188">
        <f t="shared" si="6"/>
        <v>519</v>
      </c>
      <c r="R13" s="188">
        <f t="shared" si="6"/>
        <v>6377</v>
      </c>
      <c r="S13" s="188">
        <f t="shared" si="6"/>
        <v>3868</v>
      </c>
      <c r="T13" s="188">
        <f t="shared" si="6"/>
        <v>1417</v>
      </c>
      <c r="U13" s="188">
        <f t="shared" si="6"/>
        <v>1346</v>
      </c>
      <c r="V13" s="188">
        <f t="shared" si="6"/>
        <v>3933</v>
      </c>
      <c r="W13" s="188">
        <f t="shared" si="6"/>
        <v>306</v>
      </c>
      <c r="X13" s="188">
        <f t="shared" si="6"/>
        <v>635</v>
      </c>
      <c r="Y13" s="188">
        <f t="shared" si="6"/>
        <v>173</v>
      </c>
      <c r="Z13" s="188">
        <f t="shared" si="6"/>
        <v>86</v>
      </c>
      <c r="AA13" s="188">
        <f t="shared" si="6"/>
        <v>104</v>
      </c>
      <c r="AB13" s="188">
        <f t="shared" si="6"/>
        <v>172</v>
      </c>
      <c r="AC13" s="188">
        <f t="shared" si="6"/>
        <v>0</v>
      </c>
      <c r="AD13" s="188">
        <f t="shared" si="6"/>
        <v>0</v>
      </c>
      <c r="AE13" s="188">
        <f t="shared" si="6"/>
        <v>0</v>
      </c>
      <c r="AF13" s="188">
        <f>SUBTOTAL(9,AF9:AF12)</f>
        <v>0</v>
      </c>
      <c r="AG13" s="188">
        <f t="shared" ref="AG13:AT13" si="7">SUBTOTAL(9,AG8:AG12)</f>
        <v>154</v>
      </c>
      <c r="AH13" s="188">
        <f t="shared" si="7"/>
        <v>142</v>
      </c>
      <c r="AI13" s="188">
        <f t="shared" si="7"/>
        <v>130</v>
      </c>
      <c r="AJ13" s="188">
        <f t="shared" si="7"/>
        <v>166</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4022</v>
      </c>
      <c r="AZ13" s="188">
        <f>SUBTOTAL(9,AZ8:AZ12)</f>
        <v>1559</v>
      </c>
      <c r="BA13" s="188">
        <f>SUBTOTAL(9,BA8:BA12)</f>
        <v>1476</v>
      </c>
      <c r="BB13" s="188">
        <f>SUBTOTAL(9,BB8:BB12)</f>
        <v>4099</v>
      </c>
      <c r="BC13" s="188">
        <f>SUBTOTAL(9,BC8:BC12)</f>
        <v>638</v>
      </c>
      <c r="BD13" s="209">
        <f>IF(ISNUMBER(BA13/AZ13),BA13/AZ13," - ")</f>
        <v>0.9467607440667094</v>
      </c>
      <c r="BE13" s="210">
        <f>IF(ISNUMBER(BB13/BA13),BB13/BA13, " - ")</f>
        <v>2.77710027100271</v>
      </c>
      <c r="BF13" s="210">
        <f>IF(ISNUMBER(BC13/BA13),BC13/BA13, " - ")</f>
        <v>0.43224932249322495</v>
      </c>
      <c r="BG13" s="211">
        <f>IF(ISNUMBER((AY13+AZ13)/BA13),(AY13+AZ13)/BA13," - ")</f>
        <v>3.7811653116531163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2342</v>
      </c>
      <c r="J15" s="187">
        <v>1772</v>
      </c>
      <c r="K15" s="187">
        <v>1908</v>
      </c>
      <c r="L15" s="187">
        <v>2324</v>
      </c>
      <c r="M15" s="187">
        <v>284</v>
      </c>
      <c r="N15" s="187">
        <v>1065</v>
      </c>
      <c r="O15" s="185">
        <v>62</v>
      </c>
      <c r="P15" s="187">
        <v>72</v>
      </c>
      <c r="Q15" s="187">
        <v>63</v>
      </c>
      <c r="R15" s="187">
        <v>288</v>
      </c>
      <c r="S15" s="187">
        <v>1961</v>
      </c>
      <c r="T15" s="187">
        <v>1993</v>
      </c>
      <c r="U15" s="187">
        <v>1797</v>
      </c>
      <c r="V15" s="187">
        <v>2157</v>
      </c>
      <c r="W15" s="187">
        <v>281</v>
      </c>
      <c r="X15" s="193">
        <v>1037</v>
      </c>
      <c r="Y15" s="206">
        <v>0</v>
      </c>
      <c r="Z15" s="187">
        <v>0</v>
      </c>
      <c r="AA15" s="187">
        <v>0</v>
      </c>
      <c r="AB15" s="187">
        <v>0</v>
      </c>
      <c r="AC15" s="187">
        <v>0</v>
      </c>
      <c r="AD15" s="187">
        <v>0</v>
      </c>
      <c r="AE15" s="187">
        <v>0</v>
      </c>
      <c r="AF15" s="193">
        <v>0</v>
      </c>
      <c r="AG15" s="206">
        <v>0</v>
      </c>
      <c r="AH15" s="187">
        <v>0</v>
      </c>
      <c r="AI15" s="187">
        <v>0</v>
      </c>
      <c r="AJ15" s="207">
        <v>0</v>
      </c>
      <c r="AK15" s="186">
        <v>0</v>
      </c>
      <c r="AL15" s="187">
        <v>1</v>
      </c>
      <c r="AM15" s="187">
        <v>1</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1961</v>
      </c>
      <c r="AZ15" s="130">
        <f t="shared" si="9"/>
        <v>1993</v>
      </c>
      <c r="BA15" s="130">
        <f t="shared" si="9"/>
        <v>1797</v>
      </c>
      <c r="BB15" s="130">
        <f t="shared" si="9"/>
        <v>2157</v>
      </c>
      <c r="BC15" s="126">
        <f>IF(ISNUMBER(W15),W15," - ")</f>
        <v>281</v>
      </c>
      <c r="BD15" s="127">
        <f>IF(ISNUMBER(BA15/AZ15),BA15/AZ15," - ")</f>
        <v>0.90165579528349227</v>
      </c>
      <c r="BE15" s="128">
        <f>IF(ISNUMBER(BB15/BA15),BB15/BA15, " - ")</f>
        <v>1.2003338898163607</v>
      </c>
      <c r="BF15" s="128">
        <f>IF(ISNUMBER(BC15/BA15),BC15/BA15, " - ")</f>
        <v>0.1563717306622148</v>
      </c>
      <c r="BG15" s="200">
        <f t="shared" ref="BG15:BG16" si="10">IF(ISNUMBER((AY15+AZ15)/BA15),(AY15+AZ15)/BA15," - ")</f>
        <v>2.2003338898163607</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v>
      </c>
      <c r="J16" s="187">
        <v>0</v>
      </c>
      <c r="K16" s="187">
        <v>0</v>
      </c>
      <c r="L16" s="187">
        <v>2</v>
      </c>
      <c r="M16" s="187">
        <v>0</v>
      </c>
      <c r="N16" s="187">
        <v>0</v>
      </c>
      <c r="O16" s="185">
        <v>0</v>
      </c>
      <c r="P16" s="187">
        <v>0</v>
      </c>
      <c r="Q16" s="187">
        <v>0</v>
      </c>
      <c r="R16" s="187">
        <v>0</v>
      </c>
      <c r="S16" s="187">
        <v>2</v>
      </c>
      <c r="T16" s="187">
        <v>0</v>
      </c>
      <c r="U16" s="187">
        <v>0</v>
      </c>
      <c r="V16" s="187">
        <v>2</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2</v>
      </c>
      <c r="AZ16" s="128">
        <f t="shared" si="9"/>
        <v>0</v>
      </c>
      <c r="BA16" s="128">
        <f t="shared" si="9"/>
        <v>0</v>
      </c>
      <c r="BB16" s="128">
        <f t="shared" si="9"/>
        <v>2</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155</v>
      </c>
      <c r="J17" s="187">
        <v>446</v>
      </c>
      <c r="K17" s="187">
        <v>409</v>
      </c>
      <c r="L17" s="187">
        <v>192</v>
      </c>
      <c r="M17" s="187">
        <v>57</v>
      </c>
      <c r="N17" s="187">
        <v>154</v>
      </c>
      <c r="O17" s="187">
        <v>2</v>
      </c>
      <c r="P17" s="187">
        <v>2</v>
      </c>
      <c r="Q17" s="187">
        <v>2</v>
      </c>
      <c r="R17" s="187">
        <v>6</v>
      </c>
      <c r="S17" s="187">
        <v>103</v>
      </c>
      <c r="T17" s="187">
        <v>242</v>
      </c>
      <c r="U17" s="187">
        <v>237</v>
      </c>
      <c r="V17" s="187">
        <v>108</v>
      </c>
      <c r="W17" s="187">
        <v>30</v>
      </c>
      <c r="X17" s="193">
        <v>108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103</v>
      </c>
      <c r="AZ17" s="130">
        <f t="shared" si="14"/>
        <v>242</v>
      </c>
      <c r="BA17" s="130">
        <f t="shared" si="14"/>
        <v>237</v>
      </c>
      <c r="BB17" s="130">
        <f t="shared" si="14"/>
        <v>108</v>
      </c>
      <c r="BC17" s="126">
        <f>IF(ISNUMBER(W17),W17," - ")</f>
        <v>30</v>
      </c>
      <c r="BD17" s="127">
        <f>IF(ISNUMBER(BA17/AZ17),BA17/AZ17," - ")</f>
        <v>0.97933884297520657</v>
      </c>
      <c r="BE17" s="128">
        <f>IF(ISNUMBER(BB17/BA17),BB17/BA17, " - ")</f>
        <v>0.45569620253164556</v>
      </c>
      <c r="BF17" s="128">
        <f>IF(ISNUMBER(BC17/BA17),BC17/BA17, " - ")</f>
        <v>0.12658227848101267</v>
      </c>
      <c r="BG17" s="200">
        <f>IF(ISNUMBER((AY17+AZ17)/BA17),(AY17+AZ17)/BA17," - ")</f>
        <v>1.4556962025316456</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2499</v>
      </c>
      <c r="J18" s="188">
        <f t="shared" si="15"/>
        <v>2218</v>
      </c>
      <c r="K18" s="188">
        <f t="shared" si="15"/>
        <v>2317</v>
      </c>
      <c r="L18" s="188">
        <f t="shared" si="15"/>
        <v>2518</v>
      </c>
      <c r="M18" s="188">
        <f t="shared" si="15"/>
        <v>341</v>
      </c>
      <c r="N18" s="188">
        <f t="shared" si="15"/>
        <v>1219</v>
      </c>
      <c r="O18" s="188">
        <f t="shared" si="15"/>
        <v>64</v>
      </c>
      <c r="P18" s="188">
        <f t="shared" si="15"/>
        <v>74</v>
      </c>
      <c r="Q18" s="188">
        <f t="shared" si="15"/>
        <v>65</v>
      </c>
      <c r="R18" s="188">
        <f t="shared" si="15"/>
        <v>294</v>
      </c>
      <c r="S18" s="188">
        <f t="shared" si="15"/>
        <v>2066</v>
      </c>
      <c r="T18" s="188">
        <f t="shared" si="15"/>
        <v>2235</v>
      </c>
      <c r="U18" s="188">
        <f t="shared" si="15"/>
        <v>2034</v>
      </c>
      <c r="V18" s="188">
        <f t="shared" si="15"/>
        <v>2267</v>
      </c>
      <c r="W18" s="188">
        <f t="shared" si="15"/>
        <v>311</v>
      </c>
      <c r="X18" s="188">
        <f t="shared" si="15"/>
        <v>1145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2066</v>
      </c>
      <c r="AZ18" s="188">
        <f>SUBTOTAL(9,AZ14:AZ17)</f>
        <v>2235</v>
      </c>
      <c r="BA18" s="188">
        <f>SUBTOTAL(9,BA14:BA17)</f>
        <v>2034</v>
      </c>
      <c r="BB18" s="188">
        <f>SUBTOTAL(9,BB14:BB17)</f>
        <v>2267</v>
      </c>
      <c r="BC18" s="188">
        <f>SUBTOTAL(9,BC14:BC17)</f>
        <v>311</v>
      </c>
      <c r="BD18" s="209">
        <f>IF(ISNUMBER(BA18/AZ18),BA18/AZ18," - ")</f>
        <v>0.91006711409395968</v>
      </c>
      <c r="BE18" s="210">
        <f>IF(ISNUMBER(BB18/BA18),BB18/BA18, " - ")</f>
        <v>1.1145526057030481</v>
      </c>
      <c r="BF18" s="210">
        <f>IF(ISNUMBER(BC18/BA18),BC18/BA18, " - ")</f>
        <v>0.1529006882989184</v>
      </c>
      <c r="BG18" s="211">
        <f>IF(ISNUMBER((AY18+AZ18)/BA18),(AY18+AZ18)/BA18," - ")</f>
        <v>2.1145526057030484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7344</v>
      </c>
      <c r="J19" s="135">
        <f t="shared" si="18"/>
        <v>3884</v>
      </c>
      <c r="K19" s="135">
        <f t="shared" si="18"/>
        <v>4046</v>
      </c>
      <c r="L19" s="135">
        <f t="shared" si="18"/>
        <v>7976</v>
      </c>
      <c r="M19" s="135">
        <f t="shared" si="18"/>
        <v>674</v>
      </c>
      <c r="N19" s="135">
        <f t="shared" si="18"/>
        <v>2025</v>
      </c>
      <c r="O19" s="135">
        <f t="shared" si="18"/>
        <v>1083</v>
      </c>
      <c r="P19" s="135">
        <f t="shared" si="18"/>
        <v>420</v>
      </c>
      <c r="Q19" s="135">
        <f t="shared" si="18"/>
        <v>584</v>
      </c>
      <c r="R19" s="135">
        <f t="shared" si="18"/>
        <v>6671</v>
      </c>
      <c r="S19" s="135">
        <f t="shared" si="18"/>
        <v>5934</v>
      </c>
      <c r="T19" s="135">
        <f t="shared" si="18"/>
        <v>3652</v>
      </c>
      <c r="U19" s="135">
        <f t="shared" si="18"/>
        <v>3380</v>
      </c>
      <c r="V19" s="135">
        <f t="shared" si="18"/>
        <v>6200</v>
      </c>
      <c r="W19" s="135">
        <f t="shared" si="18"/>
        <v>617</v>
      </c>
      <c r="X19" s="135">
        <f t="shared" si="18"/>
        <v>1780</v>
      </c>
      <c r="Y19" s="135">
        <f t="shared" si="18"/>
        <v>173</v>
      </c>
      <c r="Z19" s="135">
        <f t="shared" si="18"/>
        <v>86</v>
      </c>
      <c r="AA19" s="135">
        <f t="shared" si="18"/>
        <v>104</v>
      </c>
      <c r="AB19" s="135">
        <f t="shared" si="18"/>
        <v>172</v>
      </c>
      <c r="AC19" s="135">
        <f t="shared" si="18"/>
        <v>0</v>
      </c>
      <c r="AD19" s="135">
        <f t="shared" si="18"/>
        <v>0</v>
      </c>
      <c r="AE19" s="135">
        <f t="shared" si="18"/>
        <v>0</v>
      </c>
      <c r="AF19" s="135">
        <f t="shared" si="18"/>
        <v>0</v>
      </c>
      <c r="AG19" s="135">
        <f t="shared" si="18"/>
        <v>154</v>
      </c>
      <c r="AH19" s="135">
        <f t="shared" si="18"/>
        <v>142</v>
      </c>
      <c r="AI19" s="135">
        <f t="shared" si="18"/>
        <v>130</v>
      </c>
      <c r="AJ19" s="135">
        <f t="shared" si="18"/>
        <v>166</v>
      </c>
      <c r="AK19" s="135">
        <f t="shared" si="18"/>
        <v>0</v>
      </c>
      <c r="AL19" s="135">
        <f t="shared" si="18"/>
        <v>1</v>
      </c>
      <c r="AM19" s="135">
        <f t="shared" si="18"/>
        <v>1</v>
      </c>
      <c r="AN19" s="214">
        <f t="shared" si="18"/>
        <v>0</v>
      </c>
      <c r="AO19" s="215">
        <v>10</v>
      </c>
      <c r="AP19" s="215">
        <v>10</v>
      </c>
      <c r="AQ19" s="215">
        <v>10</v>
      </c>
      <c r="AR19" s="215">
        <v>10</v>
      </c>
      <c r="AS19" s="157">
        <f t="shared" si="18"/>
        <v>0</v>
      </c>
      <c r="AT19" s="157">
        <f t="shared" si="18"/>
        <v>0</v>
      </c>
      <c r="AU19" s="215"/>
      <c r="AV19" s="216"/>
      <c r="AW19" s="215"/>
      <c r="AX19" s="216"/>
      <c r="AY19" s="134">
        <f>SUBTOTAL(9,AY9:AY18)</f>
        <v>6088</v>
      </c>
      <c r="AZ19" s="135">
        <f>SUBTOTAL(9,AZ9:AZ18)</f>
        <v>3794</v>
      </c>
      <c r="BA19" s="135">
        <f>SUBTOTAL(9,BA9:BA18)</f>
        <v>3510</v>
      </c>
      <c r="BB19" s="135">
        <f>SUBTOTAL(9,BB9:BB18)</f>
        <v>6366</v>
      </c>
      <c r="BC19" s="136">
        <f>SUBTOTAL(9,BC9:BC18)</f>
        <v>949</v>
      </c>
      <c r="BD19" s="217">
        <f>IF(ISNUMBER(BA19/AZ19),BA19/AZ19," - ")</f>
        <v>0.92514496573537164</v>
      </c>
      <c r="BE19" s="214">
        <f>IF(ISNUMBER(BB19/BA19),BB19/BA19, " - ")</f>
        <v>1.8136752136752137</v>
      </c>
      <c r="BF19" s="214">
        <f>IF(ISNUMBER(BC19/BA19),BC19/BA19, " - ")</f>
        <v>0.27037037037037037</v>
      </c>
      <c r="BG19" s="136">
        <f>IF(ISNUMBER((AY19+AZ19)/BA19),(AY19+AZ19)/BA19," - ")</f>
        <v>2.8153846153846156</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qMSJLdMWnKF8iztJ1Z2XF72KVlLca7jUBIOoIFGtr8V1uDaX8ztTZO4ONCGnCNgNMnpEcmY2rqo1z79TYN5w==" saltValue="Ac3QoTGuhJ9n13UgFxG2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HHja7Pf1JBiUdapFz3R1c+YikRSfttBoWoGxux6PacbzZ0WDZATtKtK+zqBBAbzms5XvwObn1OOUck4yximQw==" saltValue="/go+g+bQrKcNiB843KR8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BENIDORM</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86</v>
      </c>
      <c r="O9" s="503"/>
      <c r="P9" s="503"/>
      <c r="Q9" s="501">
        <f>IF(ISNUMBER(Datos!P9),Datos!P9,0)</f>
        <v>345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518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172</v>
      </c>
      <c r="AI9" s="503" t="str">
        <f>IF(ISNUMBER(Datos!CD9),Datos!CD9,"-")</f>
        <v>-</v>
      </c>
      <c r="AJ9" s="503" t="str">
        <f>IF(ISNUMBER(Datos!EN9),Datos!EN9," - ")</f>
        <v xml:space="preserve"> - </v>
      </c>
      <c r="AK9" s="503"/>
      <c r="AL9" s="504"/>
      <c r="AM9" s="671">
        <f>IF(ISNUMBER(Datos!R9),Datos!R9," - ")</f>
        <v>6304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328</v>
      </c>
      <c r="BD9" s="619">
        <f>IF(ISNUMBER(Datos!N9),Datos!N9," - ")</f>
        <v>799</v>
      </c>
      <c r="BE9" s="619" t="str">
        <f>IF(ISNUMBER(Datos!BW9),Datos!BW9," - ")</f>
        <v xml:space="preserve"> - </v>
      </c>
      <c r="BF9" s="667" t="str">
        <f>IF(ISNUMBER(Datos!BX9),Datos!BX9," - ")</f>
        <v xml:space="preserve"> - </v>
      </c>
      <c r="BG9" s="668">
        <f>IF(ISNUMBER(IF(J_V="SI",Datos!K9/Datos!J9,(Datos!K9+Datos!AA9)/(Datos!J9+Datos!Z9))),IF(J_V="SI",Datos!K9/Datos!J9,(Datos!K9+Datos!AA9)/(Datos!J9+Datos!Z9))," - ")</f>
        <v>1.0462962962962963</v>
      </c>
      <c r="BH9" s="669">
        <f>IF(ISNUMBER(((IF(J_V="SI",Datos!L9/Datos!K9,(Datos!L9+Datos!AB9)/(Datos!K9+Datos!AA9)))*11)/factor_trimestre),((IF(J_V="SI",Datos!L9/Datos!K9,(Datos!L9+Datos!AB9)/(Datos!K9+Datos!AA9)))*11)/factor_trimestre," - ")</f>
        <v>6.1692477876106189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-2.6709896557048016E-2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52</v>
      </c>
      <c r="G10" s="497">
        <f>IF(ISNUMBER(Datos!I10),Datos!I10," - ")</f>
        <v>52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25</v>
      </c>
      <c r="AC10" s="501">
        <f>IF(ISNUMBER(Datos!Q10),Datos!Q10," - ")</f>
        <v>1</v>
      </c>
      <c r="AD10" s="503"/>
      <c r="AE10" s="516"/>
      <c r="AF10" s="505">
        <f>IF(ISNUMBER(Datos!L10),Datos!L10,"-")</f>
        <v>51</v>
      </c>
      <c r="AG10" s="503"/>
      <c r="AH10" s="503"/>
      <c r="AI10" s="503"/>
      <c r="AJ10" s="503"/>
      <c r="AK10" s="503"/>
      <c r="AL10" s="504"/>
      <c r="AM10" s="671">
        <f>IF(ISNUMBER(Datos!R10),Datos!R10," - ")</f>
        <v>43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7</v>
      </c>
      <c r="BE10" s="619" t="str">
        <f>IF(ISNUMBER(Datos!BW10),Datos!BW10," - ")</f>
        <v xml:space="preserve"> - </v>
      </c>
      <c r="BF10" s="667" t="str">
        <f>IF(ISNUMBER(Datos!BX10),Datos!BX10," - ")</f>
        <v xml:space="preserve"> - </v>
      </c>
      <c r="BG10" s="668">
        <f>IF(ISNUMBER(Datos!K10/Datos!J10),Datos!K10/Datos!J10," - ")</f>
        <v>1.0416666666666667</v>
      </c>
      <c r="BH10" s="669">
        <f>IF(ISNUMBER(((Datos!L10/Datos!K10)*11)/factor_trimestre),((Datos!L10/Datos!K10)*11)/factor_trimestre," - ")</f>
        <v>4.08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52</v>
      </c>
      <c r="G13" s="1044">
        <f t="shared" si="0"/>
        <v>52</v>
      </c>
      <c r="H13" s="1045">
        <f t="shared" si="0"/>
        <v>0</v>
      </c>
      <c r="I13" s="1044">
        <f t="shared" si="0"/>
        <v>0</v>
      </c>
      <c r="J13" s="1013">
        <f t="shared" si="0"/>
        <v>0</v>
      </c>
      <c r="K13" s="1013">
        <f t="shared" si="0"/>
        <v>0</v>
      </c>
      <c r="L13" s="1045">
        <f t="shared" si="0"/>
        <v>0</v>
      </c>
      <c r="M13" s="1045">
        <f t="shared" si="0"/>
        <v>0</v>
      </c>
      <c r="N13" s="1045">
        <f t="shared" si="0"/>
        <v>86</v>
      </c>
      <c r="O13" s="1046">
        <f t="shared" si="0"/>
        <v>0</v>
      </c>
      <c r="P13" s="1046">
        <f t="shared" si="0"/>
        <v>0</v>
      </c>
      <c r="Q13" s="1045">
        <f t="shared" si="0"/>
        <v>346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25</v>
      </c>
      <c r="AC13" s="1045">
        <f t="shared" si="1"/>
        <v>519</v>
      </c>
      <c r="AD13" s="1045">
        <f t="shared" si="1"/>
        <v>0</v>
      </c>
      <c r="AE13" s="1045">
        <f t="shared" si="1"/>
        <v>0</v>
      </c>
      <c r="AF13" s="1045">
        <f t="shared" si="1"/>
        <v>51</v>
      </c>
      <c r="AG13" s="1045">
        <f t="shared" si="1"/>
        <v>0</v>
      </c>
      <c r="AH13" s="1045">
        <f t="shared" si="1"/>
        <v>172</v>
      </c>
      <c r="AI13" s="1045">
        <f t="shared" si="1"/>
        <v>0</v>
      </c>
      <c r="AJ13" s="1045">
        <f t="shared" si="1"/>
        <v>0</v>
      </c>
      <c r="AK13" s="1045">
        <f t="shared" si="1"/>
        <v>0</v>
      </c>
      <c r="AL13" s="1045">
        <f t="shared" si="1"/>
        <v>0</v>
      </c>
      <c r="AM13" s="1045">
        <f t="shared" si="1"/>
        <v>6377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333</v>
      </c>
      <c r="BD13" s="1045">
        <f t="shared" si="1"/>
        <v>806</v>
      </c>
      <c r="BE13" s="1045">
        <f t="shared" si="1"/>
        <v>0</v>
      </c>
      <c r="BF13" s="1045">
        <f t="shared" si="1"/>
        <v>0</v>
      </c>
      <c r="BG13" s="1045">
        <f>IF(ISNUMBER(Datos!K13/Datos!J13),Datos!K13/Datos!J13," - ")</f>
        <v>1.0378151260504203</v>
      </c>
      <c r="BH13" s="1049">
        <f>IF(ISNUMBER(((Datos!L13/Datos!K13)*11)/factor_trimestre),((Datos!L13/Datos!K13)*11)/factor_trimestre," - ")</f>
        <v>6.313475997686524</v>
      </c>
      <c r="BI13" s="1045">
        <f>IF(ISNUMBER('Resol  Asuntos'!D13/NºAsuntos!G13),'Resol  Asuntos'!D13/NºAsuntos!G13," - ")</f>
        <v>0.18166939443535188</v>
      </c>
      <c r="BJ13" s="1045" t="str">
        <f>IF(ISNUMBER(Datos!CI13/Datos!CJ13),Datos!CI13/Datos!CJ13," - ")</f>
        <v xml:space="preserve"> - </v>
      </c>
      <c r="BK13" s="1045">
        <f>SUBTOTAL(9,BK8:BK12)</f>
        <v>0</v>
      </c>
      <c r="BL13" s="1045">
        <f>IF(ISNUMBER((I13-AB13+L13)/(F13)),(I13-AB13+L13)/(F13)," - ")</f>
        <v>-0.48076923076923078</v>
      </c>
      <c r="BM13" s="1050">
        <f>SUBTOTAL(9,BM9:BM12)</f>
        <v>-2.6709896557048016E-2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2460</v>
      </c>
      <c r="G15" s="650">
        <f>IF(ISNUMBER(IF(D_I="SI",Datos!I15,Datos!I15+Datos!AC15)),IF(D_I="SI",Datos!I15,Datos!I15+Datos!AC15)," - ")</f>
        <v>2342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1908</v>
      </c>
      <c r="AC15" s="230">
        <f>IF(ISNUMBER(Datos!Q15),Datos!Q15," - ")</f>
        <v>63</v>
      </c>
      <c r="AD15" s="343"/>
      <c r="AE15" s="515"/>
      <c r="AF15" s="648">
        <f>IF(ISNUMBER(IF(D_I="SI",Datos!L15,Datos!L15+Datos!AF15)),IF(D_I="SI",Datos!L15,Datos!L15+Datos!AF15)," - ")</f>
        <v>2324</v>
      </c>
      <c r="AG15" s="343"/>
      <c r="AH15" s="343"/>
      <c r="AI15" s="343"/>
      <c r="AJ15" s="503"/>
      <c r="AK15" s="343"/>
      <c r="AL15" s="499"/>
      <c r="AM15" s="344">
        <f>IF(ISNUMBER(Datos!R15),Datos!R15," - ")</f>
        <v>288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284</v>
      </c>
      <c r="BD15" s="233">
        <f>IF(ISNUMBER(Datos!N15),Datos!N15," - ")</f>
        <v>1065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1.0767494356659142</v>
      </c>
      <c r="BH15" s="669">
        <f>IF(ISNUMBER(((IF(D_I="SI",Datos!L15/Datos!K15,(Datos!L15+Datos!AF15)/(Datos!K15+Datos!AE15)))*11)/factor_trimestre),((IF(D_I="SI",Datos!L15/Datos!K15,(Datos!L15+Datos!AF15)/(Datos!K15+Datos!AE15)))*11)/factor_trimestre," - ")</f>
        <v>2.4360587002096437</v>
      </c>
      <c r="BI15" s="247">
        <f>IF(ISNUMBER('Resol  Asuntos'!D15/NºAsuntos!G15),'Resol  Asuntos'!D15/NºAsuntos!G15," - ")</f>
        <v>0.1488469601677149</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2</v>
      </c>
      <c r="G16" s="650">
        <f>IF(ISNUMBER(IF(D_I="SI",Datos!I16,Datos!I16+Datos!AC16)),IF(D_I="SI",Datos!I16,Datos!I16+Datos!AC16)," - ")</f>
        <v>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2</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155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409</v>
      </c>
      <c r="AC17" s="501">
        <f>IF(ISNUMBER(Datos!Q17),Datos!Q17," - ")</f>
        <v>2</v>
      </c>
      <c r="AD17" s="503"/>
      <c r="AE17" s="515"/>
      <c r="AF17" s="505">
        <f>IF(ISNUMBER(Datos!L17),Datos!L17,"-")</f>
        <v>192</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57</v>
      </c>
      <c r="BD17" s="619">
        <f>IF(ISNUMBER(Datos!N17),Datos!N17," - ")</f>
        <v>154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0.9170403587443946</v>
      </c>
      <c r="BH17" s="669">
        <f>IF(ISNUMBER(((IF(D_I="SI",Datos!L17/Datos!K17,(Datos!L17+Datos!AF17)/(Datos!K17+Datos!AE17)))*11)/factor_trimestre),((IF(D_I="SI",Datos!L17/Datos!K17,(Datos!L17+Datos!AF17)/(Datos!K17+Datos!AE17)))*11)/factor_trimestre," - ")</f>
        <v>0.93887530562347188</v>
      </c>
      <c r="BI17" s="668">
        <f>IF(ISNUMBER('Resol  Asuntos'!D17/NºAsuntos!G17),'Resol  Asuntos'!D17/NºAsuntos!G17," - ")</f>
        <v>0.13936430317848411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2462</v>
      </c>
      <c r="G18" s="1044">
        <f>SUBTOTAL(9,G15:G17)</f>
        <v>2499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2317</v>
      </c>
      <c r="AC18" s="1045">
        <f t="shared" si="4"/>
        <v>65</v>
      </c>
      <c r="AD18" s="1045">
        <f t="shared" si="4"/>
        <v>0</v>
      </c>
      <c r="AE18" s="1045">
        <f t="shared" si="4"/>
        <v>0</v>
      </c>
      <c r="AF18" s="1045">
        <f t="shared" si="4"/>
        <v>2518</v>
      </c>
      <c r="AG18" s="1045">
        <f t="shared" si="4"/>
        <v>0</v>
      </c>
      <c r="AH18" s="1045">
        <f t="shared" si="4"/>
        <v>0</v>
      </c>
      <c r="AI18" s="1045">
        <f t="shared" si="4"/>
        <v>0</v>
      </c>
      <c r="AJ18" s="1045">
        <f t="shared" si="4"/>
        <v>0</v>
      </c>
      <c r="AK18" s="1045">
        <f t="shared" si="4"/>
        <v>0</v>
      </c>
      <c r="AL18" s="1045">
        <f t="shared" si="4"/>
        <v>0</v>
      </c>
      <c r="AM18" s="1045">
        <f t="shared" si="4"/>
        <v>294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341</v>
      </c>
      <c r="BD18" s="1045">
        <f t="shared" si="4"/>
        <v>1219</v>
      </c>
      <c r="BE18" s="1045">
        <f t="shared" si="4"/>
        <v>0</v>
      </c>
      <c r="BF18" s="1045">
        <f t="shared" si="4"/>
        <v>0</v>
      </c>
      <c r="BG18" s="1045">
        <f>IF(ISNUMBER(Datos!K18/Datos!J18),Datos!K18/Datos!J18," - ")</f>
        <v>1.0446348061316502</v>
      </c>
      <c r="BH18" s="1049">
        <f>IF(ISNUMBER(((Datos!L18/Datos!K18)*11)/factor_trimestre),((Datos!L18/Datos!K18)*11)/factor_trimestre," - ")</f>
        <v>2.1735002157962882</v>
      </c>
      <c r="BI18" s="1045">
        <f>SUBTOTAL(9,BI15:BI17)</f>
        <v>0.28821126334619901</v>
      </c>
      <c r="BJ18" s="1045">
        <f>SUBTOTAL(9,BJ15:BJ17)</f>
        <v>0</v>
      </c>
      <c r="BK18" s="1045">
        <f>SUBTOTAL(9,BK15:BK17)</f>
        <v>0</v>
      </c>
      <c r="BL18" s="1045">
        <f>IF(ISNUMBER((I18-AB18+L18)/(F18)),(I18-AB18+L18)/(F18)," - ")</f>
        <v>-0.94110479285134041</v>
      </c>
      <c r="BM18" s="1051">
        <f>IF(ISNUMBER((Datos!P18-Datos!Q18)/(Datos!R18-Datos!P18+Datos!Q18)),(Datos!P18-Datos!Q18)/(Datos!R18-Datos!P18+Datos!Q18)," - ")</f>
        <v>3.1578947368421054E-2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2514</v>
      </c>
      <c r="G19" s="966">
        <f t="shared" si="6"/>
        <v>2551</v>
      </c>
      <c r="H19" s="968">
        <f t="shared" si="6"/>
        <v>0</v>
      </c>
      <c r="I19" s="966">
        <f t="shared" si="6"/>
        <v>0</v>
      </c>
      <c r="J19" s="968">
        <f t="shared" si="6"/>
        <v>0</v>
      </c>
      <c r="K19" s="968">
        <f t="shared" si="6"/>
        <v>0</v>
      </c>
      <c r="L19" s="1027">
        <f t="shared" si="6"/>
        <v>0</v>
      </c>
      <c r="M19" s="1027">
        <f t="shared" si="6"/>
        <v>0</v>
      </c>
      <c r="N19" s="1027">
        <f t="shared" si="6"/>
        <v>86</v>
      </c>
      <c r="O19" s="1027">
        <f t="shared" si="6"/>
        <v>0</v>
      </c>
      <c r="P19" s="1027">
        <f t="shared" si="6"/>
        <v>0</v>
      </c>
      <c r="Q19" s="968">
        <f t="shared" si="6"/>
        <v>420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2342</v>
      </c>
      <c r="AC19" s="967">
        <f t="shared" si="7"/>
        <v>584</v>
      </c>
      <c r="AD19" s="967">
        <f t="shared" si="7"/>
        <v>0</v>
      </c>
      <c r="AE19" s="967">
        <f t="shared" si="7"/>
        <v>0</v>
      </c>
      <c r="AF19" s="974">
        <f t="shared" si="7"/>
        <v>2569</v>
      </c>
      <c r="AG19" s="974">
        <f t="shared" si="7"/>
        <v>0</v>
      </c>
      <c r="AH19" s="974">
        <f t="shared" si="7"/>
        <v>172</v>
      </c>
      <c r="AI19" s="974">
        <f t="shared" si="7"/>
        <v>0</v>
      </c>
      <c r="AJ19" s="967">
        <f t="shared" si="7"/>
        <v>0</v>
      </c>
      <c r="AK19" s="974">
        <f t="shared" si="7"/>
        <v>0</v>
      </c>
      <c r="AL19" s="974">
        <f t="shared" si="7"/>
        <v>0</v>
      </c>
      <c r="AM19" s="974">
        <f t="shared" si="7"/>
        <v>6671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674</v>
      </c>
      <c r="BD19" s="966">
        <f t="shared" si="7"/>
        <v>2025</v>
      </c>
      <c r="BE19" s="966">
        <f t="shared" si="7"/>
        <v>0</v>
      </c>
      <c r="BF19" s="976">
        <f t="shared" si="7"/>
        <v>0</v>
      </c>
      <c r="BG19" s="1061">
        <f>IF(ISNUMBER(Datos!K19/Datos!J19),Datos!K19/Datos!J19," - ")</f>
        <v>1.0417095777548919</v>
      </c>
      <c r="BH19" s="1061">
        <f>IF(ISNUMBER(((Datos!L19/Datos!K19)*11)/factor_trimestre),((Datos!L19/Datos!K19)*11)/factor_trimestre," - ")</f>
        <v>3.9426594167078601</v>
      </c>
      <c r="BI19" s="959">
        <f>IF(ISNUMBER(Datos!J19/Datos!I19),Datos!J19/Datos!I19," - ")</f>
        <v>0.52886710239651413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-0.93158313444709628</v>
      </c>
      <c r="BM19" s="1035">
        <f>IF(ISNUMBER((Datos!P19-Datos!Q19+R19)/(Datos!R19-Datos!P19+Datos!Q19-R19)),(Datos!P19-Datos!Q19+R19)/(Datos!R19-Datos!P19+Datos!Q19-R19)," - ")</f>
        <v>-2.399414776883687E-2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850.33333333333337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1328.749336782525</v>
      </c>
      <c r="G21" s="600">
        <f>IF(ISNUMBER(STDEV(G8:G18)),STDEV(G8:G18),"-")</f>
        <v>1218.277581943732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1050.7941124057875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165.41981225268722</v>
      </c>
      <c r="BD21" s="599"/>
      <c r="BE21" s="599">
        <f>IF(ISNUMBER(STDEV(BE8:BE18)),STDEV(BE8:BE18),"-")</f>
        <v>0</v>
      </c>
      <c r="BF21" s="604">
        <f>IF(ISNUMBER(STDEV(BF8:BF18)),STDEV(BF8:BF18),"-")</f>
        <v>0</v>
      </c>
      <c r="BG21" s="914">
        <f>IF(ISNUMBER(STDEV(BG8:BG18)),STDEV(BG8:BG18),"-")</f>
        <v>5.5822454110471424E-2</v>
      </c>
      <c r="BH21" s="918">
        <f>IF(ISNUMBER(STDEV(BH8:BH18)),STDEV(BH8:BH18),"-")</f>
        <v>2.2191027340887217</v>
      </c>
      <c r="BI21" s="253">
        <f>IF(ISNUMBER(STDEV(BI8:BI18)),STDEV(BI8:BI18),"-")</f>
        <v>6.8243406338201432E-2</v>
      </c>
      <c r="BJ21" s="234" t="str">
        <f>IF(ISNUMBER(BL21/BM21),BL21/BM21," - ")</f>
        <v xml:space="preserve"> - </v>
      </c>
      <c r="BK21" s="626"/>
      <c r="BL21" s="607">
        <f>IF(ISNUMBER(STDEV(BL8:BL18)),STDEV(BL8:BL18),"-")</f>
        <v>0.32550639756958066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NrOBwE0Nept1+oDaB3vDyAfuBg2Fn/SHEv5tyQMSENZXBheBZ4Z3zR8N6SHTYpDMbiF3gc5F0zWinT01Hxz2Q==" saltValue="dmXHSxr+3eW5xGET0qGL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BENIDORM</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345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518</v>
      </c>
      <c r="AA9" s="505" t="str">
        <f>IF(ISNUMBER(IF(J_V="SI",Datos!L9,Datos!L9+Datos!AB9)-IF(Monitorios="SI",Datos!CD9,0)),
                          IF(J_V="SI",Datos!L9,Datos!L9+Datos!AB9)-IF(Monitorios="SI",Datos!CD9,0),
                          " - ")</f>
        <v xml:space="preserve"> - </v>
      </c>
      <c r="AB9" s="503"/>
      <c r="AC9" s="503"/>
      <c r="AD9" s="516"/>
      <c r="AE9" s="516">
        <f>IF(ISNUMBER(Datos!R9),Datos!R9," - ")</f>
        <v>6304</v>
      </c>
      <c r="AF9" s="619" t="str">
        <f>IF(ISNUMBER(Datos!BV9),Datos!BV9," - ")</f>
        <v xml:space="preserve"> - </v>
      </c>
      <c r="AG9" s="506" t="str">
        <f>IF(ISNUMBER(Datos!DV9),Datos!DV9," - ")</f>
        <v xml:space="preserve"> - </v>
      </c>
      <c r="AH9" s="507"/>
      <c r="AI9" s="508"/>
      <c r="AJ9" s="506">
        <f>IF(ISNUMBER(Datos!M9),Datos!M9," - ")</f>
        <v>328</v>
      </c>
      <c r="AK9" s="619">
        <f>IF(ISNUMBER(Datos!N9),Datos!N9," - ")</f>
        <v>799</v>
      </c>
      <c r="AL9" s="619" t="str">
        <f>IF(ISNUMBER(Datos!BW9),Datos!BW9," - ")</f>
        <v xml:space="preserve"> - </v>
      </c>
      <c r="AM9" s="667" t="str">
        <f>IF(ISNUMBER(Datos!BX9),Datos!BX9," - ")</f>
        <v xml:space="preserve"> - </v>
      </c>
      <c r="AN9" s="668"/>
      <c r="AO9" s="669">
        <f>IF(ISNUMBER(((NºAsuntos!I9/NºAsuntos!G9)*11)/factor_trimestre),((NºAsuntos!I9/NºAsuntos!G9)*11)/factor_trimestre," - ")</f>
        <v>6.1692477876106189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-2.6709896557048016E-2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52</v>
      </c>
      <c r="G10" s="506">
        <f>IF(ISNUMBER(Datos!I10),Datos!I10," - ")</f>
        <v>52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25</v>
      </c>
      <c r="Z10" s="703">
        <f>IF(ISNUMBER(Datos!Q10),Datos!Q10," - ")</f>
        <v>1</v>
      </c>
      <c r="AA10" s="505">
        <f>IF(ISNUMBER(Datos!L10),Datos!L10,"-")</f>
        <v>51</v>
      </c>
      <c r="AB10" s="503"/>
      <c r="AC10" s="503"/>
      <c r="AD10" s="516"/>
      <c r="AE10" s="516">
        <f>IF(ISNUMBER(Datos!R10),Datos!R10," - ")</f>
        <v>43</v>
      </c>
      <c r="AF10" s="619" t="str">
        <f>IF(ISNUMBER(Datos!BV10),Datos!BV10," - ")</f>
        <v xml:space="preserve"> - </v>
      </c>
      <c r="AG10" s="506" t="str">
        <f>IF(ISNUMBER(Datos!DV10),Datos!DV10," - ")</f>
        <v xml:space="preserve"> - </v>
      </c>
      <c r="AH10" s="507"/>
      <c r="AI10" s="508"/>
      <c r="AJ10" s="506">
        <f>IF(ISNUMBER(Datos!M10),Datos!M10," - ")</f>
        <v>5</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4.08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30</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52</v>
      </c>
      <c r="G13" s="1044">
        <f>SUBTOTAL(9,G8:G12)</f>
        <v>52</v>
      </c>
      <c r="H13" s="1054"/>
      <c r="I13" s="1044">
        <f t="shared" ref="I13:N13" si="0">SUBTOTAL(9,I8:I12)</f>
        <v>0</v>
      </c>
      <c r="J13" s="1013">
        <f t="shared" si="0"/>
        <v>0</v>
      </c>
      <c r="K13" s="1054">
        <f t="shared" si="0"/>
        <v>0</v>
      </c>
      <c r="L13" s="1054">
        <f t="shared" si="0"/>
        <v>0</v>
      </c>
      <c r="M13" s="1054">
        <f t="shared" si="0"/>
        <v>0</v>
      </c>
      <c r="N13" s="1054">
        <f t="shared" si="0"/>
        <v>346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25</v>
      </c>
      <c r="Z13" s="1053">
        <f t="shared" si="2"/>
        <v>519</v>
      </c>
      <c r="AA13" s="1046">
        <f t="shared" si="2"/>
        <v>51</v>
      </c>
      <c r="AB13" s="1046">
        <f t="shared" si="2"/>
        <v>0</v>
      </c>
      <c r="AC13" s="1046">
        <f t="shared" si="2"/>
        <v>0</v>
      </c>
      <c r="AD13" s="1046">
        <f t="shared" si="2"/>
        <v>0</v>
      </c>
      <c r="AE13" s="1046">
        <f t="shared" si="2"/>
        <v>6377</v>
      </c>
      <c r="AF13" s="1054">
        <f t="shared" si="2"/>
        <v>0</v>
      </c>
      <c r="AG13" s="1054">
        <f t="shared" si="2"/>
        <v>0</v>
      </c>
      <c r="AH13" s="1054">
        <f t="shared" si="2"/>
        <v>0</v>
      </c>
      <c r="AI13" s="1054">
        <f t="shared" si="2"/>
        <v>0</v>
      </c>
      <c r="AJ13" s="1054">
        <f t="shared" si="2"/>
        <v>333</v>
      </c>
      <c r="AK13" s="1054">
        <f t="shared" si="2"/>
        <v>806</v>
      </c>
      <c r="AL13" s="1054">
        <f t="shared" si="2"/>
        <v>0</v>
      </c>
      <c r="AM13" s="1054">
        <f t="shared" si="2"/>
        <v>0</v>
      </c>
      <c r="AN13" s="1054">
        <f t="shared" si="2"/>
        <v>0</v>
      </c>
      <c r="AO13" s="1050">
        <f>IF(ISNUMBER(((NºAsuntos!I13/NºAsuntos!G13)*11)/factor_trimestre),((NºAsuntos!I13/NºAsuntos!G13)*11)/factor_trimestre," - ")</f>
        <v>6.1429350791052917</v>
      </c>
      <c r="AP13" s="1056" t="str">
        <f>IF(ISNUMBER(Datos!CI13/Datos!CJ13),Datos!CI13/Datos!CJ13," - ")</f>
        <v xml:space="preserve"> - </v>
      </c>
      <c r="AQ13" s="1074">
        <f t="shared" ref="AQ13:AV13" si="3">SUBTOTAL(9,AQ9:AQ12)</f>
        <v>0</v>
      </c>
      <c r="AR13" s="1074">
        <f t="shared" si="3"/>
        <v>-2.6709896557048016E-2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2460</v>
      </c>
      <c r="G15" s="506">
        <f>IF(ISNUMBER(IF(D_I="SI",Datos!I15,Datos!I15+Datos!AC15)),IF(D_I="SI",Datos!I15,Datos!I15+Datos!AC15)," - ")</f>
        <v>2342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1908</v>
      </c>
      <c r="Z15" s="703">
        <f>IF(ISNUMBER(Datos!Q15),Datos!Q15," - ")</f>
        <v>63</v>
      </c>
      <c r="AA15" s="505">
        <f>IF(ISNUMBER(IF(D_I="SI",Datos!L15,Datos!L15+Datos!AF15)),IF(D_I="SI",Datos!L15,Datos!L15+Datos!AF15)," - ")</f>
        <v>2324</v>
      </c>
      <c r="AB15" s="503"/>
      <c r="AC15" s="503"/>
      <c r="AD15" s="516"/>
      <c r="AE15" s="516">
        <f>IF(ISNUMBER(Datos!R15),Datos!R15," - ")</f>
        <v>288</v>
      </c>
      <c r="AF15" s="619" t="str">
        <f>IF(ISNUMBER(Datos!BV15),Datos!BV15," - ")</f>
        <v xml:space="preserve"> - </v>
      </c>
      <c r="AG15" s="506"/>
      <c r="AH15" s="507"/>
      <c r="AI15" s="508"/>
      <c r="AJ15" s="506">
        <f>IF(ISNUMBER(Datos!M15),Datos!M15," - ")</f>
        <v>284</v>
      </c>
      <c r="AK15" s="619">
        <f>IF(ISNUMBER(Datos!N15),Datos!N15," - ")</f>
        <v>1065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2.4360587002096437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2</v>
      </c>
      <c r="G16" s="506">
        <f>IF(ISNUMBER(IF(D_I="SI",Datos!I16,Datos!I16+Datos!AC16)),IF(D_I="SI",Datos!I16,Datos!I16+Datos!AC16)," - ")</f>
        <v>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2</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155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409</v>
      </c>
      <c r="Z17" s="703">
        <f>IF(ISNUMBER(Datos!Q17),Datos!Q17," - ")</f>
        <v>2</v>
      </c>
      <c r="AA17" s="505">
        <f>IF(ISNUMBER(Datos!L17),Datos!L17,"-")</f>
        <v>192</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57</v>
      </c>
      <c r="AK17" s="619">
        <f>IF(ISNUMBER(Datos!N17),Datos!N17," - ")</f>
        <v>154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0.93887530562347188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2462</v>
      </c>
      <c r="G18" s="1044">
        <f>SUBTOTAL(9,G15:G17)</f>
        <v>2499</v>
      </c>
      <c r="H18" s="1078">
        <f>SUBTOTAL(9,H15:H17)</f>
        <v>0</v>
      </c>
      <c r="I18" s="1057">
        <f>SUBTOTAL(9,I15:I17)</f>
        <v>0</v>
      </c>
      <c r="J18" s="1013">
        <f>SUBTOTAL(9,J14:J17)</f>
        <v>0</v>
      </c>
      <c r="K18" s="1078">
        <f t="shared" ref="K18:S18" si="4">SUBTOTAL(9,K15:K17)</f>
        <v>0</v>
      </c>
      <c r="L18" s="1078">
        <f t="shared" si="4"/>
        <v>0</v>
      </c>
      <c r="M18" s="1078">
        <f t="shared" si="4"/>
        <v>0</v>
      </c>
      <c r="N18" s="1078">
        <f t="shared" si="4"/>
        <v>74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2317</v>
      </c>
      <c r="Z18" s="1078">
        <f t="shared" si="5"/>
        <v>65</v>
      </c>
      <c r="AA18" s="1078">
        <f t="shared" si="5"/>
        <v>2518</v>
      </c>
      <c r="AB18" s="1078">
        <f t="shared" si="5"/>
        <v>0</v>
      </c>
      <c r="AC18" s="1078">
        <f t="shared" si="5"/>
        <v>0</v>
      </c>
      <c r="AD18" s="1078">
        <f t="shared" si="5"/>
        <v>0</v>
      </c>
      <c r="AE18" s="1078">
        <f t="shared" si="5"/>
        <v>294</v>
      </c>
      <c r="AF18" s="1078">
        <f t="shared" si="5"/>
        <v>0</v>
      </c>
      <c r="AG18" s="1078">
        <f t="shared" si="5"/>
        <v>0</v>
      </c>
      <c r="AH18" s="1078">
        <f t="shared" si="5"/>
        <v>0</v>
      </c>
      <c r="AI18" s="1078">
        <f t="shared" si="5"/>
        <v>0</v>
      </c>
      <c r="AJ18" s="1078">
        <f t="shared" si="5"/>
        <v>341</v>
      </c>
      <c r="AK18" s="1078">
        <f t="shared" si="5"/>
        <v>1219</v>
      </c>
      <c r="AL18" s="1078">
        <f t="shared" si="5"/>
        <v>0</v>
      </c>
      <c r="AM18" s="1078">
        <f t="shared" si="5"/>
        <v>0</v>
      </c>
      <c r="AN18" s="1078">
        <f t="shared" si="5"/>
        <v>0</v>
      </c>
      <c r="AO18" s="1080">
        <f>IF(ISNUMBER(((NºAsuntos!I18/NºAsuntos!G18)*11)/factor_trimestre),((NºAsuntos!I18/NºAsuntos!G18)*11)/factor_trimestre," - ")</f>
        <v>2.1735002157962882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2514</v>
      </c>
      <c r="G19" s="966">
        <f t="shared" si="7"/>
        <v>2551</v>
      </c>
      <c r="H19" s="967">
        <f t="shared" si="7"/>
        <v>0</v>
      </c>
      <c r="I19" s="966">
        <f t="shared" si="7"/>
        <v>0</v>
      </c>
      <c r="J19" s="968">
        <f t="shared" si="7"/>
        <v>0</v>
      </c>
      <c r="K19" s="966">
        <f t="shared" si="7"/>
        <v>0</v>
      </c>
      <c r="L19" s="969">
        <f t="shared" si="7"/>
        <v>0</v>
      </c>
      <c r="M19" s="966">
        <f t="shared" si="7"/>
        <v>0</v>
      </c>
      <c r="N19" s="967">
        <f t="shared" si="7"/>
        <v>420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2342</v>
      </c>
      <c r="Z19" s="973">
        <f t="shared" si="8"/>
        <v>584</v>
      </c>
      <c r="AA19" s="974">
        <f t="shared" si="8"/>
        <v>2569</v>
      </c>
      <c r="AB19" s="974">
        <f t="shared" si="8"/>
        <v>0</v>
      </c>
      <c r="AC19" s="974">
        <f t="shared" si="8"/>
        <v>0</v>
      </c>
      <c r="AD19" s="975">
        <f t="shared" si="8"/>
        <v>0</v>
      </c>
      <c r="AE19" s="975">
        <f t="shared" si="8"/>
        <v>6671</v>
      </c>
      <c r="AF19" s="976">
        <f t="shared" si="8"/>
        <v>0</v>
      </c>
      <c r="AG19" s="977">
        <f t="shared" si="8"/>
        <v>0</v>
      </c>
      <c r="AH19" s="978">
        <f t="shared" si="8"/>
        <v>0</v>
      </c>
      <c r="AI19" s="976">
        <f t="shared" si="8"/>
        <v>0</v>
      </c>
      <c r="AJ19" s="966">
        <f t="shared" si="8"/>
        <v>674</v>
      </c>
      <c r="AK19" s="966">
        <f t="shared" si="8"/>
        <v>2025</v>
      </c>
      <c r="AL19" s="966">
        <f t="shared" si="8"/>
        <v>0</v>
      </c>
      <c r="AM19" s="979">
        <f t="shared" si="8"/>
        <v>0</v>
      </c>
      <c r="AN19" s="969">
        <f>IF(ISNUMBER(Datos!K19/Datos!J19),Datos!K19/Datos!J19," - ")</f>
        <v>1.0417095777548919</v>
      </c>
      <c r="AO19" s="969">
        <f>IF(ISNUMBER(FIND("06",Criterios!A8,1)),(IF(ISNUMBER(((Datos!R19/Datos!Q19)*11)/factor_trimestre),((Datos!R19/Datos!Q19)*11)/factor_trimestre," - ")),(IF(ISNUMBER(((Datos!L19/Datos!K19)*11)/factor_trimestre),((Datos!L19/Datos!K19)*11)/factor_trimestre," - ")))</f>
        <v>3.9426594167078601</v>
      </c>
      <c r="AP19" s="980" t="str">
        <f>IF(ISNUMBER(Datos!CI19/Datos!CJ19),Datos!CI19/Datos!CJ19," - ")</f>
        <v xml:space="preserve"> - </v>
      </c>
      <c r="AQ19" s="980">
        <f>IF(OR(ISNUMBER(FIND("01",Criterios!A8,1)),ISNUMBER(FIND("02",Criterios!A8,1)),ISNUMBER(FIND("03",Criterios!A8,1)),ISNUMBER(FIND("04",Criterios!A8,1))),(J19-Y19+K19)/(F19-K19),(I19-Y19+K19)/(F19-K19))</f>
        <v>-0.93158313444709628</v>
      </c>
      <c r="AR19" s="980">
        <f>IF(ISNUMBER((Datos!P19-Datos!Q19+O19)/(Datos!R19-Datos!P19+Datos!Q19-O19)),(Datos!P19-Datos!Q19+O19)/(Datos!R19-Datos!P19+Datos!Q19-O19)," - ")</f>
        <v>-2.399414776883687E-2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850.33333333333337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1328.749336782525</v>
      </c>
      <c r="G21" s="600">
        <f>IF(ISNUMBER(STDEV(G8:G18)),STDEV(G8:G18),"-")</f>
        <v>1218.277581943732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165.41981225268722</v>
      </c>
      <c r="AK21" s="256"/>
      <c r="AL21" s="256">
        <f>IF(ISNUMBER(STDEV(AL8:AL18)),STDEV(AL8:AL18),"-")</f>
        <v>0</v>
      </c>
      <c r="AM21" s="258">
        <f>IF(ISNUMBER(STDEV(AM8:AM18)),STDEV(AM8:AM18),"-")</f>
        <v>0</v>
      </c>
      <c r="AN21" s="586">
        <f>IF(ISNUMBER(STDEV(AN8:AN18)),STDEV(AN8:AN18),"-")</f>
        <v>0</v>
      </c>
      <c r="AO21" s="587">
        <f>IF(ISNUMBER(STDEV(AO8:AO18)),STDEV(AO8:AO18),"-")</f>
        <v>2.1794431383537232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fgz6Aybl+vEZu1iIfMboEdOrmggBC/rTSPLbsUPeOYnjqitntoP25oZuNXe2znXinV/BdB75FEkicI3QZy0kg==" saltValue="dkmtaehL3e+paxjP+/tD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6doCZoQnwn1dNgPisTWXeRvdVSlkAgDwT/YR6rN8/dINnieDiVuU3Y+Q3KkpycVg9fwQ7Yj3Et7Cxy53P/nhg==" saltValue="VzuALkBJeNsT9dEH4VM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GcVny/sMYw9ydntSBwgVsSZnV87MVKzAPTQ1jZEzi2C3Iba+fv/uIee6Dh4eJilo3AeX6kB/JWEirF2yM/yQ==" saltValue="2ySYaW4+IURZdsm5u5k+V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BENIDORM</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0.18166939443535188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0.12845966073929097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v+m8vT7GXhSbOwBaIsjenHmIWZO6UEss8eoGozCfIniyK6gycwdYBTO3PGS4QBHiTdNj8LQEqrpYMZO+ct8Q==" saltValue="U+UiRVPIbuK6NWJZXBhT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v1dQZPFRwpxAUhLRpReY4eDKdu98yynzLFTYBrfHRQiz62dhLM0P8GWYwKyDpuScWaALnbx2+Dsm7qflOLwmQg==" saltValue="vKmpfwSXTcu+WoMCv7Il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BENIDORM</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4964</v>
      </c>
      <c r="D9" s="415">
        <f>IF(ISNUMBER(C9/Datos!BH9),C9/Datos!BH9," - ")</f>
        <v>992.8</v>
      </c>
      <c r="E9" s="414">
        <f>IF(ISNUMBER(IF(J_V="SI",Datos!J9,Datos!J9+Datos!Z9)),IF(J_V="SI",Datos!J9,Datos!J9+Datos!Z9)," - ")</f>
        <v>1728</v>
      </c>
      <c r="F9" s="415">
        <f>IF(ISNUMBER(E9/B9),E9/B9," - ")</f>
        <v>345.6</v>
      </c>
      <c r="G9" s="414">
        <f>IF(ISNUMBER(IF(J_V="SI",Datos!K9,Datos!K9+Datos!AA9)),IF(J_V="SI",Datos!K9,Datos!K9+Datos!AA9)," - ")</f>
        <v>1808</v>
      </c>
      <c r="H9" s="415">
        <f>IF(ISNUMBER(G9/B9),G9/B9," - ")</f>
        <v>361.6</v>
      </c>
      <c r="I9" s="414">
        <f>IF(ISNUMBER(IF(J_V="SI",Datos!L9,Datos!L9+Datos!AB9)),IF(J_V="SI",Datos!L9,Datos!L9+Datos!AB9)," - ")</f>
        <v>5577</v>
      </c>
      <c r="J9" s="415">
        <f>IF(ISNUMBER(I9/B9),I9/B9," - ")</f>
        <v>1115.4000000000001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52</v>
      </c>
      <c r="D10" s="415">
        <f>IF(ISNUMBER(C10/Datos!BH10),C10/Datos!BH10," - ")</f>
        <v>52</v>
      </c>
      <c r="E10" s="414">
        <f>IF(ISNUMBER(Datos!J10),Datos!J10," - ")</f>
        <v>24</v>
      </c>
      <c r="F10" s="415">
        <f>IF(ISNUMBER(E10/B10),E10/B10," - ")</f>
        <v>24</v>
      </c>
      <c r="G10" s="414">
        <f>IF(ISNUMBER(Datos!K10),Datos!K10," - ")</f>
        <v>25</v>
      </c>
      <c r="H10" s="415">
        <f>IF(ISNUMBER(G10/B10),G10/B10," - ")</f>
        <v>25</v>
      </c>
      <c r="I10" s="414">
        <f>IF(ISNUMBER(Datos!L10),Datos!L10," - ")</f>
        <v>51</v>
      </c>
      <c r="J10" s="415">
        <f>IF(ISNUMBER(I10/B10),I10/B10," - ")</f>
        <v>51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2</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2</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5018</v>
      </c>
      <c r="D13" s="996" t="str">
        <f>IF(ISNUMBER(C13/Datos!BI13),C13/Datos!BI13," - ")</f>
        <v xml:space="preserve"> - </v>
      </c>
      <c r="E13" s="995">
        <f>SUBTOTAL(9,E8:E12)</f>
        <v>1752</v>
      </c>
      <c r="F13" s="996">
        <f>IF(ISNUMBER(E13/B13),E13/B13," - ")</f>
        <v>292</v>
      </c>
      <c r="G13" s="995">
        <f>SUBTOTAL(9,G8:G12)</f>
        <v>1833</v>
      </c>
      <c r="H13" s="996">
        <f>IF(ISNUMBER(G13/B13),G13/B13," - ")</f>
        <v>305.5</v>
      </c>
      <c r="I13" s="995">
        <f>SUBTOTAL(9,I8:I12)</f>
        <v>5630</v>
      </c>
      <c r="J13" s="996">
        <f>IF(ISNUMBER(I13/B13),I13/B13," - ")</f>
        <v>938.33333333333337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2342</v>
      </c>
      <c r="D15" s="415">
        <f>IF(ISNUMBER(C15/Datos!BH15),C15/Datos!BH15," - ")</f>
        <v>585.5</v>
      </c>
      <c r="E15" s="414">
        <f>IF(ISNUMBER(IF(D_I="SI",Datos!J15,Datos!J15+Datos!AD15)),IF(D_I="SI",Datos!J15,Datos!J15+Datos!AD15)," - ")</f>
        <v>1772</v>
      </c>
      <c r="F15" s="415">
        <f>IF(ISNUMBER(E15/B15),E15/B15," - ")</f>
        <v>443</v>
      </c>
      <c r="G15" s="414">
        <f>IF(ISNUMBER(IF(D_I="SI",Datos!K15,Datos!K15+Datos!AE15)),IF(D_I="SI",Datos!K15,Datos!K15+Datos!AE15)," - ")</f>
        <v>1908</v>
      </c>
      <c r="H15" s="415">
        <f>IF(ISNUMBER(G15/B15),G15/B15," - ")</f>
        <v>477</v>
      </c>
      <c r="I15" s="414">
        <f>IF(ISNUMBER(IF(D_I="SI",Datos!L15,Datos!L15+Datos!AF15)),IF(D_I="SI",Datos!L15,Datos!L15+Datos!AF15)," - ")</f>
        <v>2324</v>
      </c>
      <c r="J15" s="415">
        <f>IF(ISNUMBER(I15/B15),I15/B15," - ")</f>
        <v>581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2</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2</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155</v>
      </c>
      <c r="D17" s="415">
        <f>IF(ISNUMBER(C17/Datos!BH17),C17/Datos!BH17," - ")</f>
        <v>155</v>
      </c>
      <c r="E17" s="414">
        <f>IF(ISNUMBER(IF(D_I="SI",Datos!J17,Datos!J17+Datos!AD17)),IF(D_I="SI",Datos!J17,Datos!J17+Datos!AD17)," - ")</f>
        <v>446</v>
      </c>
      <c r="F17" s="415">
        <f>IF(ISNUMBER(E17/B17),E17/B17," - ")</f>
        <v>446</v>
      </c>
      <c r="G17" s="414">
        <f>IF(ISNUMBER(IF(D_I="SI",Datos!K17,Datos!K17+Datos!AE17)),IF(D_I="SI",Datos!K17,Datos!K17+Datos!AE17)," - ")</f>
        <v>409</v>
      </c>
      <c r="H17" s="415">
        <f>IF(ISNUMBER(G17/B17),G17/B17," - ")</f>
        <v>409</v>
      </c>
      <c r="I17" s="414">
        <f>IF(ISNUMBER(IF(D_I="SI",Datos!L17,Datos!L17+Datos!AF17)),IF(D_I="SI",Datos!L17,Datos!L17+Datos!AF17)," - ")</f>
        <v>192</v>
      </c>
      <c r="J17" s="415">
        <f>IF(ISNUMBER(I17/B17),I17/B17," - ")</f>
        <v>192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2499</v>
      </c>
      <c r="D18" s="996" t="str">
        <f>IF(ISNUMBER(C18/Datos!BI18),C18/Datos!BI18," - ")</f>
        <v xml:space="preserve"> - </v>
      </c>
      <c r="E18" s="995">
        <f>SUBTOTAL(9,E14:E17)</f>
        <v>2218</v>
      </c>
      <c r="F18" s="996">
        <f>IF(ISNUMBER(E18/B18),E18/B18," - ")</f>
        <v>443.6</v>
      </c>
      <c r="G18" s="995">
        <f>SUBTOTAL(9,G14:G17)</f>
        <v>2317</v>
      </c>
      <c r="H18" s="996">
        <f>IF(ISNUMBER(G18/B18),G18/B18," - ")</f>
        <v>463.4</v>
      </c>
      <c r="I18" s="995">
        <f>SUBTOTAL(9,I14:I17)</f>
        <v>2518</v>
      </c>
      <c r="J18" s="996">
        <f>IF(ISNUMBER(I18/B18),I18/B18," - ")</f>
        <v>503.6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7517</v>
      </c>
      <c r="D19" s="941" t="str">
        <f>IF(ISNUMBER(C19/Datos!BI19),C19/Datos!BI19," - ")</f>
        <v xml:space="preserve"> - </v>
      </c>
      <c r="E19" s="940">
        <f>SUBTOTAL(9,E9:E18)</f>
        <v>3970</v>
      </c>
      <c r="F19" s="941">
        <f>IF(ISNUMBER(E19/B19),E19/B19," - ")</f>
        <v>397</v>
      </c>
      <c r="G19" s="940">
        <f>SUBTOTAL(9,G9:G18)</f>
        <v>4150</v>
      </c>
      <c r="H19" s="941">
        <f>IF(ISNUMBER(G19/B19),G19/B19," - ")</f>
        <v>415</v>
      </c>
      <c r="I19" s="940">
        <f>SUBTOTAL(9,I9:I18)</f>
        <v>8148</v>
      </c>
      <c r="J19" s="941">
        <f>IF(ISNUMBER(I19/B19),I19/B19," - ")</f>
        <v>814.8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lFZURHdC7EsfrPaoBAvmtvzbQtVWXtxO2JGj+VaMMLkL7IG+l48IDrqhf/UABrVytohw1XxVSroCNfAZlTfbw==" saltValue="NwZoz1gX175ZbrbAJlIc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BENIDORM</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52</v>
      </c>
      <c r="G10" s="802">
        <f>IF(ISNUMBER(Datos!I10),Datos!I10," - ")</f>
        <v>52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25</v>
      </c>
      <c r="AC10" s="801" t="str">
        <f>IF(ISNUMBER(IF(D_I="SI",DatosP!K17,DatosP!K17+DatosP!AE17)),IF(D_I="SI",DatosP!K17,DatosP!K17+DatosP!AE17)," - ")</f>
        <v xml:space="preserve"> - </v>
      </c>
      <c r="AD10" s="803"/>
      <c r="AE10" s="803"/>
      <c r="AF10" s="806">
        <f>IF(ISNUMBER(Datos!L10),Datos!L10,"-")</f>
        <v>51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4.08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52</v>
      </c>
      <c r="G13" s="1084">
        <f t="shared" si="0"/>
        <v>52</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25</v>
      </c>
      <c r="AC13" s="1085">
        <f t="shared" si="1"/>
        <v>0</v>
      </c>
      <c r="AD13" s="1085">
        <f t="shared" si="1"/>
        <v>0</v>
      </c>
      <c r="AE13" s="1085">
        <f t="shared" si="1"/>
        <v>0</v>
      </c>
      <c r="AF13" s="1085">
        <f t="shared" si="1"/>
        <v>51</v>
      </c>
      <c r="AG13" s="1085">
        <f t="shared" si="1"/>
        <v>0</v>
      </c>
      <c r="AH13" s="1085">
        <f t="shared" si="1"/>
        <v>30</v>
      </c>
      <c r="AI13" s="1085">
        <f t="shared" si="1"/>
        <v>0</v>
      </c>
      <c r="AJ13" s="1085">
        <f t="shared" si="1"/>
        <v>0</v>
      </c>
      <c r="AK13" s="1085">
        <f t="shared" si="1"/>
        <v>0</v>
      </c>
      <c r="AL13" s="1085">
        <f t="shared" si="1"/>
        <v>5</v>
      </c>
      <c r="AM13" s="1085">
        <f t="shared" si="1"/>
        <v>7</v>
      </c>
      <c r="AN13" s="1085">
        <f t="shared" si="1"/>
        <v>0</v>
      </c>
      <c r="AO13" s="1085">
        <f t="shared" si="1"/>
        <v>0</v>
      </c>
      <c r="AP13" s="1090">
        <f>IF(ISNUMBER(((Datos!L13/Datos!K13)*11)/factor_trimestre),((Datos!L13/Datos!K13)*11)/factor_trimestre," - ")</f>
        <v>6.313475997686524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-0.48076923076923078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2.1735002157962882</v>
      </c>
      <c r="AQ18" s="1090">
        <f>IF(ISNUMBER(((Datos!M18/Datos!L18)*11)/factor_trimestre),((Datos!M18/Datos!L18)*11)/factor_trimestre," - ")</f>
        <v>0.27084988085782369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3.1578947368421054E-2</v>
      </c>
      <c r="AW18" s="1092">
        <f>IF(ISNUMBER((Datos!Q18-Datos!R18)/(Datos!S18-Datos!Q18+Datos!R18)),(Datos!Q18-Datos!R18)/(Datos!S18-Datos!Q18+Datos!R18)," - ")</f>
        <v>-9.978213507625272E-2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52</v>
      </c>
      <c r="G19" s="1097">
        <f t="shared" si="4"/>
        <v>52</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25</v>
      </c>
      <c r="AC19" s="1103">
        <f t="shared" si="5"/>
        <v>0</v>
      </c>
      <c r="AD19" s="1103">
        <f t="shared" si="5"/>
        <v>0</v>
      </c>
      <c r="AE19" s="1103">
        <f t="shared" si="5"/>
        <v>0</v>
      </c>
      <c r="AF19" s="1104">
        <f t="shared" si="5"/>
        <v>51</v>
      </c>
      <c r="AG19" s="1104">
        <f t="shared" si="5"/>
        <v>0</v>
      </c>
      <c r="AH19" s="1104">
        <f t="shared" si="5"/>
        <v>30</v>
      </c>
      <c r="AI19" s="1104">
        <f t="shared" si="5"/>
        <v>0</v>
      </c>
      <c r="AJ19" s="1105">
        <f t="shared" si="5"/>
        <v>0</v>
      </c>
      <c r="AK19" s="1105">
        <f t="shared" si="5"/>
        <v>0</v>
      </c>
      <c r="AL19" s="1097">
        <f t="shared" si="5"/>
        <v>5</v>
      </c>
      <c r="AM19" s="1097">
        <f t="shared" si="5"/>
        <v>7</v>
      </c>
      <c r="AN19" s="1097">
        <f t="shared" si="5"/>
        <v>0</v>
      </c>
      <c r="AO19" s="1097">
        <f t="shared" si="5"/>
        <v>0</v>
      </c>
      <c r="AP19" s="1097">
        <f>IF(ISNUMBER(((Datos!L19/Datos!K19)*11)/factor_trimestre),((Datos!L19/Datos!K19)*11)/factor_trimestre," - ")</f>
        <v>3.9426594167078601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-0.48076923076923078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-2.399414776883687E-2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30.02221399786054</v>
      </c>
      <c r="G21" s="870">
        <f>IF(ISNUMBER(STDEV(G8:G18)),STDEV(G8:G18),"-")</f>
        <v>30.02221399786054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14.433756729740644</v>
      </c>
      <c r="AC21" s="871">
        <f>IF(ISNUMBER(STDEV(AC8:AC18)),STDEV(AC8:AC18),"-")</f>
        <v>0</v>
      </c>
      <c r="AD21" s="874"/>
      <c r="AE21" s="874"/>
      <c r="AF21" s="874"/>
      <c r="AG21" s="874"/>
      <c r="AH21" s="874"/>
      <c r="AI21" s="874"/>
      <c r="AJ21" s="875">
        <f>IF(ISNUMBER(STDEV(AJ8:AJ18)),STDEV(AJ8:AJ18),"-")</f>
        <v>0</v>
      </c>
      <c r="AK21" s="877"/>
      <c r="AL21" s="869">
        <f>IF(ISNUMBER(STDEV(AL8:AL18)),STDEV(AL8:AL18),"-")</f>
        <v>2.8867513459481291</v>
      </c>
      <c r="AM21" s="869"/>
      <c r="AN21" s="869">
        <f>IF(ISNUMBER(STDEV(AN8:AN18)),STDEV(AN8:AN18),"-")</f>
        <v>0</v>
      </c>
      <c r="AO21" s="875">
        <f>IF(ISNUMBER(STDEV(AO8:AO18)),STDEV(AO8:AO18),"-")</f>
        <v>0</v>
      </c>
      <c r="AP21" s="922">
        <f>IF(ISNUMBER(STDEV(AP8:AP18)),STDEV(AP8:AP18),"-")</f>
        <v>2.0721388279604676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78xEsWAHLOR/rcen+cvZjZioWO5oCVsaM8pKUCFzNLkMaIgYSHDRKzZUYMes/sVtJZ1YDNYIiT2zAOhQ48ND5g==" saltValue="j/k4nxjwlq7EHivyUJR+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BENIDORM</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MhsEAzgALgtojjd12gbsXhvFX+BXOJnaz79IJc3dDfZbSFnUIe8mX0x6WpRYXgyeOtL5nbSDj7WofJIbbb6iw==" saltValue="i+qdDjz9KwI1BTESfjUG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BENIDORM</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328</v>
      </c>
      <c r="E9" s="415">
        <f t="shared" ref="E9:E13" si="0">IF(ISNUMBER(D9/B9),D9/B9," - ")</f>
        <v>65.599999999999994</v>
      </c>
      <c r="F9" s="414">
        <f>IF(ISNUMBER(Datos!N9),Datos!N9," - ")</f>
        <v>799</v>
      </c>
      <c r="G9" s="415">
        <f t="shared" ref="G9:G13" si="1">IF(ISNUMBER(F9/B9),F9/B9," - ")</f>
        <v>159.80000000000001</v>
      </c>
      <c r="H9" s="414">
        <f>IF(ISNUMBER(Datos!O9),Datos!O9," - ")</f>
        <v>1015</v>
      </c>
      <c r="I9" s="415">
        <f>IF(ISNUMBER(H9/B9),H9/B9," - ")</f>
        <v>203</v>
      </c>
    </row>
    <row r="10" spans="1:9">
      <c r="A10" s="413" t="str">
        <f>Datos!A10</f>
        <v>Jdos. Violencia contra la mujer</v>
      </c>
      <c r="B10" s="443">
        <f>Datos!AO10</f>
        <v>1</v>
      </c>
      <c r="C10" s="421">
        <f>Datos!AQ10</f>
        <v>1</v>
      </c>
      <c r="D10" s="414">
        <f>IF(ISNUMBER(Datos!M10),Datos!M10," - ")</f>
        <v>5</v>
      </c>
      <c r="E10" s="415">
        <f>IF(ISNUMBER(D10/B10),D10/B10," - ")</f>
        <v>5</v>
      </c>
      <c r="F10" s="414">
        <f>IF(ISNUMBER(Datos!N10),Datos!N10," - ")</f>
        <v>7</v>
      </c>
      <c r="G10" s="415">
        <f>IF(ISNUMBER(F10/B10),F10/B10," - ")</f>
        <v>7</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0</v>
      </c>
      <c r="I12" s="415" t="str">
        <f t="shared" si="2"/>
        <v xml:space="preserve"> - </v>
      </c>
    </row>
    <row r="13" spans="1:9" ht="14.25" thickTop="1" thickBot="1">
      <c r="A13" s="994" t="str">
        <f>Datos!A13</f>
        <v>TOTAL</v>
      </c>
      <c r="B13" s="995">
        <f>Datos!AO13</f>
        <v>6</v>
      </c>
      <c r="C13" s="997">
        <f>Datos!AR13</f>
        <v>6</v>
      </c>
      <c r="D13" s="995">
        <f>SUBTOTAL(9,D9:D12)</f>
        <v>333</v>
      </c>
      <c r="E13" s="996">
        <f t="shared" si="0"/>
        <v>55.5</v>
      </c>
      <c r="F13" s="995">
        <f>SUBTOTAL(9,F9:F12)</f>
        <v>806</v>
      </c>
      <c r="G13" s="996">
        <f t="shared" si="1"/>
        <v>134.33333333333334</v>
      </c>
      <c r="H13" s="995">
        <f>SUBTOTAL(9,H9:H12)</f>
        <v>1019</v>
      </c>
      <c r="I13" s="996">
        <f>IF(ISNUMBER(H13/B13),H13/B13," - ")</f>
        <v>169.83333333333334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284</v>
      </c>
      <c r="E15" s="415">
        <f t="shared" ref="E15:E18" si="3">IF(ISNUMBER(D15/B15),D15/B15," - ")</f>
        <v>71</v>
      </c>
      <c r="F15" s="414">
        <f>IF(ISNUMBER(Datos!N15),Datos!N15," - ")</f>
        <v>1065</v>
      </c>
      <c r="G15" s="415">
        <f t="shared" ref="G15:G18" si="4">IF(ISNUMBER(F15/B15),F15/B15," - ")</f>
        <v>266.25</v>
      </c>
      <c r="H15" s="414">
        <f>IF(ISNUMBER(Datos!O15),Datos!O15," - ")</f>
        <v>62</v>
      </c>
      <c r="I15" s="415">
        <f t="shared" ref="I15:I17" si="5">IF(ISNUMBER(H15/B15),H15/B15," - ")</f>
        <v>15.5</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57</v>
      </c>
      <c r="E17" s="415">
        <f>IF(ISNUMBER(D17/B17),D17/B17," - ")</f>
        <v>57</v>
      </c>
      <c r="F17" s="414">
        <f>IF(ISNUMBER(Datos!N17),Datos!N17," - ")</f>
        <v>154</v>
      </c>
      <c r="G17" s="415">
        <f>IF(ISNUMBER(F17/B17),F17/B17," - ")</f>
        <v>154</v>
      </c>
      <c r="H17" s="414">
        <f>IF(ISNUMBER(Datos!O17),Datos!O17," - ")</f>
        <v>2</v>
      </c>
      <c r="I17" s="415">
        <f t="shared" si="5"/>
        <v>2</v>
      </c>
    </row>
    <row r="18" spans="1:9" ht="14.25" thickTop="1" thickBot="1">
      <c r="A18" s="994" t="str">
        <f>Datos!A18</f>
        <v>TOTAL</v>
      </c>
      <c r="B18" s="995">
        <f>Datos!AO18</f>
        <v>5</v>
      </c>
      <c r="C18" s="997">
        <f>Datos!AR18</f>
        <v>5</v>
      </c>
      <c r="D18" s="995">
        <f>SUBTOTAL(9,D15:D17)</f>
        <v>341</v>
      </c>
      <c r="E18" s="996">
        <f t="shared" si="3"/>
        <v>68.2</v>
      </c>
      <c r="F18" s="995">
        <f>SUBTOTAL(9,F15:F17)</f>
        <v>1219</v>
      </c>
      <c r="G18" s="996">
        <f t="shared" si="4"/>
        <v>243.8</v>
      </c>
      <c r="H18" s="995">
        <f>SUBTOTAL(9,H15:H17)</f>
        <v>64</v>
      </c>
      <c r="I18" s="996">
        <f>IF(ISNUMBER(H18/B18),H18/B18," - ")</f>
        <v>12.8</v>
      </c>
    </row>
    <row r="19" spans="1:9" ht="14.25" thickTop="1" thickBot="1">
      <c r="A19" s="939" t="str">
        <f>Datos!A19</f>
        <v>TOTAL JURISDICCIONES</v>
      </c>
      <c r="B19" s="940">
        <f>Datos!AP19</f>
        <v>10</v>
      </c>
      <c r="C19" s="940">
        <f>Datos!AR19</f>
        <v>10</v>
      </c>
      <c r="D19" s="940">
        <f>SUBTOTAL(9,D8:D18)</f>
        <v>674</v>
      </c>
      <c r="E19" s="941">
        <f>IF(ISNUMBER(D19/B19),D19/B19," - ")</f>
        <v>67.400000000000006</v>
      </c>
      <c r="F19" s="940">
        <f>SUBTOTAL(9,F8:F18)</f>
        <v>2025</v>
      </c>
      <c r="G19" s="941">
        <f>IF(ISNUMBER(F19/B19),F19/B19," - ")</f>
        <v>202.5</v>
      </c>
      <c r="H19" s="940">
        <f>SUBTOTAL(9,H8:H18)</f>
        <v>1083</v>
      </c>
      <c r="I19" s="941">
        <f>IF(ISNUMBER(H19/B19),H19/B19," - ")</f>
        <v>108.3</v>
      </c>
    </row>
    <row r="22" spans="1:9">
      <c r="A22" s="402" t="str">
        <f>Criterios!A4</f>
        <v>Fecha Informe: 29 nov. 2023</v>
      </c>
    </row>
    <row r="27" spans="1:9">
      <c r="A27" s="425"/>
    </row>
  </sheetData>
  <sheetProtection algorithmName="SHA-512" hashValue="9Zr2GMBPjEbrUmangQLmUefatR7hfKbbbYMPM1qkLvkm48mNOCff3iKaVMnAx59n8+2B3Fd+HE/lg9fMDY6WUA==" saltValue="6lEZVwIdMbxNeMCEtkGw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BENIDORM</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345</v>
      </c>
      <c r="C9" s="450">
        <f>IF(ISNUMBER(Datos!Q9),Datos!Q9," - ")</f>
        <v>518</v>
      </c>
      <c r="D9" s="419">
        <f>IF(ISNUMBER(Datos!R9),Datos!R9," - ")</f>
        <v>6304</v>
      </c>
    </row>
    <row r="10" spans="1:4">
      <c r="A10" s="413" t="str">
        <f>Datos!A10</f>
        <v>Jdos. Violencia contra la mujer</v>
      </c>
      <c r="B10" s="449">
        <f>IF(ISNUMBER(Datos!P10),Datos!P10," - ")</f>
        <v>1</v>
      </c>
      <c r="C10" s="450">
        <f>IF(ISNUMBER(Datos!Q10),Datos!Q10," - ")</f>
        <v>1</v>
      </c>
      <c r="D10" s="419">
        <f>IF(ISNUMBER(Datos!R10),Datos!R10," - ")</f>
        <v>43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0</v>
      </c>
      <c r="D12" s="419">
        <f>IF(ISNUMBER(Datos!R12),Datos!R12," - ")</f>
        <v>30</v>
      </c>
    </row>
    <row r="13" spans="1:4" ht="14.25" thickTop="1" thickBot="1">
      <c r="A13" s="994" t="str">
        <f>Datos!A13</f>
        <v>TOTAL</v>
      </c>
      <c r="B13" s="995">
        <f>SUBTOTAL(9,B9:B12)</f>
        <v>346</v>
      </c>
      <c r="C13" s="999">
        <f>SUBTOTAL(9,C9:C12)</f>
        <v>519</v>
      </c>
      <c r="D13" s="997">
        <f>SUBTOTAL(9,D9:D12)</f>
        <v>6377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72</v>
      </c>
      <c r="C15" s="450">
        <f>IF(ISNUMBER(Datos!Q15),Datos!Q15," - ")</f>
        <v>63</v>
      </c>
      <c r="D15" s="419">
        <f>IF(ISNUMBER(Datos!R15),Datos!R15," - ")</f>
        <v>288</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2</v>
      </c>
      <c r="C17" s="450">
        <f>IF(ISNUMBER(Datos!Q17),Datos!Q17," - ")</f>
        <v>2</v>
      </c>
      <c r="D17" s="419">
        <f>IF(ISNUMBER(Datos!R17),Datos!R17," - ")</f>
        <v>6</v>
      </c>
    </row>
    <row r="18" spans="1:4" ht="14.25" thickTop="1" thickBot="1">
      <c r="A18" s="994" t="str">
        <f>Datos!A18</f>
        <v>TOTAL</v>
      </c>
      <c r="B18" s="995">
        <f>SUBTOTAL(9,B15:B17)</f>
        <v>74</v>
      </c>
      <c r="C18" s="999">
        <f>SUBTOTAL(9,C15:C17)</f>
        <v>65</v>
      </c>
      <c r="D18" s="997">
        <f>SUBTOTAL(9,D15:D17)</f>
        <v>294</v>
      </c>
    </row>
    <row r="19" spans="1:4" ht="16.5" customHeight="1" thickTop="1" thickBot="1">
      <c r="A19" s="939" t="str">
        <f>Datos!A19</f>
        <v>TOTAL JURISDICCIONES</v>
      </c>
      <c r="B19" s="944">
        <f>SUBTOTAL(9,B8:B18)</f>
        <v>420</v>
      </c>
      <c r="C19" s="945">
        <f>SUBTOTAL(9,C8:C18)</f>
        <v>584</v>
      </c>
      <c r="D19" s="946">
        <f>SUBTOTAL(9,D8:D18)</f>
        <v>6671</v>
      </c>
    </row>
    <row r="20" spans="1:4" ht="7.5" customHeight="1"/>
    <row r="21" spans="1:4" ht="6" customHeight="1"/>
    <row r="22" spans="1:4">
      <c r="A22" s="402" t="str">
        <f>Criterios!A4</f>
        <v>Fecha Informe: 29 nov. 2023</v>
      </c>
    </row>
    <row r="27" spans="1:4">
      <c r="A27" s="425"/>
    </row>
  </sheetData>
  <sheetProtection algorithmName="SHA-512" hashValue="j13mxTQ07P27X9p7dq+DNI7DhLVrVR5SUycfmQcB0ICfJFFSj6eIe8JixLUOy4bZztBMGTsACXijGSE58iZ3Ng==" saltValue="xdO8GgauHhQj6v3lhSJs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BENIDORM</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0.25100806451612906</v>
      </c>
      <c r="C9" s="472">
        <f>IF(ISNUMBER(
   IF(J_V="SI",(Datos!J9-Datos!T9)/Datos!T9,(Datos!J9+Datos!Z9-(Datos!T9+Datos!AH9))/(Datos!T9+Datos!AH9))
     ),IF(J_V="SI",(Datos!J9-Datos!T9)/Datos!T9,(Datos!J9+Datos!Z9-(Datos!T9+Datos!AH9))/(Datos!T9+Datos!AH9))," - ")</f>
        <v>0.11917098445595854</v>
      </c>
      <c r="D9" s="472">
        <f>IF(ISNUMBER(
   IF(J_V="SI",(Datos!K9-Datos!U9)/Datos!U9,(Datos!K9+Datos!AA9-(Datos!U9+Datos!AI9))/(Datos!U9+Datos!AI9))
     ),IF(J_V="SI",(Datos!K9-Datos!U9)/Datos!U9,(Datos!K9+Datos!AA9-(Datos!U9+Datos!AI9))/(Datos!U9+Datos!AI9))," - ")</f>
        <v>0.24005486968449932</v>
      </c>
      <c r="E9" s="472">
        <f>IF(ISNUMBER(
   IF(J_V="SI",(Datos!L9-Datos!V9)/Datos!V9,(Datos!L9+Datos!AB9-(Datos!V9+Datos!AJ9))/(Datos!V9+Datos!AJ9))
     ),IF(J_V="SI",(Datos!L9-Datos!V9)/Datos!V9,(Datos!L9+Datos!AB9-(Datos!V9+Datos!AJ9))/(Datos!V9+Datos!AJ9))," - ")</f>
        <v>0.37567834237789838</v>
      </c>
      <c r="F9" s="472">
        <f>IF(ISNUMBER((Datos!M9-Datos!W9)/Datos!W9),(Datos!M9-Datos!W9)/Datos!W9," - ")</f>
        <v>0.10437710437710437</v>
      </c>
      <c r="G9" s="473">
        <f>IF(ISNUMBER((Datos!N9-Datos!X9)/Datos!X9),(Datos!N9-Datos!X9)/Datos!X9," - ")</f>
        <v>0.27027027027027029</v>
      </c>
      <c r="H9" s="471">
        <f>IF(ISNUMBER(((NºAsuntos!G9/NºAsuntos!E9)-Datos!BD9)/Datos!BD9),((NºAsuntos!G9/NºAsuntos!E9)-Datos!BD9)/Datos!BD9," - ")</f>
        <v>0.10801199004216833</v>
      </c>
      <c r="I9" s="472">
        <f>IF(ISNUMBER(((NºAsuntos!I9/NºAsuntos!G9)-Datos!BE9)/Datos!BE9),((NºAsuntos!I9/NºAsuntos!G9)-Datos!BE9)/Datos!BE9," - ")</f>
        <v>0.10936892875385844</v>
      </c>
      <c r="J9" s="477">
        <f>IF(ISNUMBER((('Resol  Asuntos'!D9/NºAsuntos!G9)-Datos!BF9)/Datos!BF9),(('Resol  Asuntos'!D9/NºAsuntos!G9)-Datos!BF9)/Datos!BF9," - ")</f>
        <v>-0.57948422133742283</v>
      </c>
      <c r="K9" s="478">
        <f>IF(ISNUMBER((((NºAsuntos!C9+NºAsuntos!E9)/NºAsuntos!G9)-Datos!BG9)/Datos!BG9),(((NºAsuntos!C9+NºAsuntos!E9)/NºAsuntos!G9)-Datos!BG9)/Datos!BG9," - ")</f>
        <v>-2.0947859537356891E-2</v>
      </c>
    </row>
    <row r="10" spans="1:11">
      <c r="A10" s="413" t="str">
        <f>Datos!A10</f>
        <v>Jdos. Violencia contra la mujer</v>
      </c>
      <c r="B10" s="471">
        <f>IF(ISNUMBER((Datos!I10-Datos!S10)/Datos!S10),(Datos!I10-Datos!S10)/Datos!S10," - ")</f>
        <v>0</v>
      </c>
      <c r="C10" s="472">
        <f>IF(ISNUMBER((Datos!J10-Datos!T10)/Datos!T10),(Datos!J10-Datos!T10)/Datos!T10," - ")</f>
        <v>0.6</v>
      </c>
      <c r="D10" s="472">
        <f>IF(ISNUMBER((Datos!K10-Datos!U10)/Datos!U10),(Datos!K10-Datos!U10)/Datos!U10," - ")</f>
        <v>0.3888888888888889</v>
      </c>
      <c r="E10" s="472">
        <f>IF(ISNUMBER((Datos!L10-Datos!V10)/Datos!V10),(Datos!L10-Datos!V10)/Datos!V10," - ")</f>
        <v>0.18604651162790697</v>
      </c>
      <c r="F10" s="472">
        <f>IF(ISNUMBER((Datos!M10-Datos!W10)/Datos!W10),(Datos!M10-Datos!W10)/Datos!W10," - ")</f>
        <v>-0.44444444444444442</v>
      </c>
      <c r="G10" s="473">
        <f>IF(ISNUMBER((Datos!N10-Datos!X10)/Datos!X10),(Datos!N10-Datos!X10)/Datos!X10," - ")</f>
        <v>0.16666666666666666</v>
      </c>
      <c r="H10" s="471">
        <f>IF(ISNUMBER(((NºAsuntos!G10/NºAsuntos!E10)-Datos!BD10)/Datos!BD10),((NºAsuntos!G10/NºAsuntos!E10)-Datos!BD10)/Datos!BD10," - ")</f>
        <v>-0.13194444444444436</v>
      </c>
      <c r="I10" s="472">
        <f>IF(ISNUMBER(((NºAsuntos!I10/NºAsuntos!G10)-Datos!BE10)/Datos!BE10),((NºAsuntos!I10/NºAsuntos!G10)-Datos!BE10)/Datos!BE10," - ")</f>
        <v>-0.14604651162790694</v>
      </c>
      <c r="J10" s="477">
        <f>IF(ISNUMBER((('Resol  Asuntos'!D10/NºAsuntos!G10)-Datos!BF10)/Datos!BF10),(('Resol  Asuntos'!D10/NºAsuntos!G10)-Datos!BF10)/Datos!BF10," - ")</f>
        <v>-0.6</v>
      </c>
      <c r="K10" s="478">
        <f>IF(ISNUMBER((((NºAsuntos!C10+NºAsuntos!E10)/NºAsuntos!G10)-Datos!BG10)/Datos!BG10),(((NºAsuntos!C10+NºAsuntos!E10)/NºAsuntos!G10)-Datos!BG10)/Datos!BG10," - ")</f>
        <v>-0.18328358208955225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0.24763799104922923</v>
      </c>
      <c r="C13" s="1001">
        <f>IF(ISNUMBER(
   IF(J_V="SI",(Datos!J13-Datos!T13)/Datos!T13,(Datos!J13+Datos!Z13-(Datos!T13+Datos!AH13))/(Datos!T13+Datos!AH13))
     ),IF(J_V="SI",(Datos!J13-Datos!T13)/Datos!T13,(Datos!J13+Datos!Z13-(Datos!T13+Datos!AH13))/(Datos!T13+Datos!AH13))," - ")</f>
        <v>0.12379730596536241</v>
      </c>
      <c r="D13" s="1001">
        <f>IF(ISNUMBER(
   IF(J_V="SI",(Datos!K13-Datos!U13)/Datos!U13,(Datos!K13+Datos!AA13-(Datos!U13+Datos!AI13))/(Datos!U13+Datos!AI13))
     ),IF(J_V="SI",(Datos!K13-Datos!U13)/Datos!U13,(Datos!K13+Datos!AA13-(Datos!U13+Datos!AI13))/(Datos!U13+Datos!AI13))," - ")</f>
        <v>0.241869918699187</v>
      </c>
      <c r="E13" s="1001">
        <f>IF(ISNUMBER(
   IF(J_V="SI",(Datos!L13-Datos!V13)/Datos!V13,(Datos!L13+Datos!AB13-(Datos!V13+Datos!AJ13))/(Datos!V13+Datos!AJ13))
     ),IF(J_V="SI",(Datos!L13-Datos!V13)/Datos!V13,(Datos!L13+Datos!AB13-(Datos!V13+Datos!AJ13))/(Datos!V13+Datos!AJ13))," - ")</f>
        <v>0.37350573310563551</v>
      </c>
      <c r="F13" s="1002">
        <f>IF(ISNUMBER((Datos!M13-Datos!W13)/Datos!W13),(Datos!M13-Datos!W13)/Datos!W13," - ")</f>
        <v>8.8235294117647065E-2</v>
      </c>
      <c r="G13" s="1003">
        <f>IF(ISNUMBER((Datos!N13-Datos!X13)/Datos!X13),(Datos!N13-Datos!X13)/Datos!X13," - ")</f>
        <v>0.26929133858267718</v>
      </c>
      <c r="H13" s="1003">
        <f>IF(ISNUMBER(((NºAsuntos!G13/NºAsuntos!E13)-Datos!BD13)/Datos!BD13),((NºAsuntos!G13/NºAsuntos!E13)-Datos!BD13)/Datos!BD13," - ")</f>
        <v>0.10506575528084053</v>
      </c>
      <c r="I13" s="1003">
        <f>IF(ISNUMBER(((NºAsuntos!I13/NºAsuntos!G13)-Datos!BE13)/Datos!BE13),((NºAsuntos!I13/NºAsuntos!G13)-Datos!BE13)/Datos!BE13," - ")</f>
        <v>0.10599806986574906</v>
      </c>
      <c r="J13" s="1003">
        <f>IF(ISNUMBER((('Resol  Asuntos'!D13/NºAsuntos!G13)-Datos!BF13)/Datos!BF13),(('Resol  Asuntos'!D13/NºAsuntos!G13)-Datos!BF13)/Datos!BF13," - ")</f>
        <v>-0.57971155770128635</v>
      </c>
      <c r="K13" s="1003">
        <f>IF(ISNUMBER((((NºAsuntos!C13+NºAsuntos!E13)/NºAsuntos!G13)-Datos!BG13)/Datos!BG13),(((NºAsuntos!C13+NºAsuntos!E13)/NºAsuntos!G13)-Datos!BG13)/Datos!BG13," - ")</f>
        <v>-2.3211498212165362E-2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0.19428862825089241</v>
      </c>
      <c r="C15" s="472">
        <f>IF(ISNUMBER(
   IF(D_I="SI",(Datos!J15-Datos!T15)/Datos!T15,(Datos!J15+Datos!AD15-(Datos!T15+Datos!AL15))/(Datos!T15+Datos!AL15))
     ),IF(D_I="SI",(Datos!J15-Datos!T15)/Datos!T15,(Datos!J15+Datos!AD15-(Datos!T15+Datos!AL15))/(Datos!T15+Datos!AL15))," - ")</f>
        <v>-0.11088810837932765</v>
      </c>
      <c r="D15" s="472">
        <f>IF(ISNUMBER(
   IF(D_I="SI",(Datos!K15-Datos!U15)/Datos!U15,(Datos!K15+Datos!AE15-(Datos!U15+Datos!AM15))/(Datos!U15+Datos!AM15))
     ),IF(D_I="SI",(Datos!K15-Datos!U15)/Datos!U15,(Datos!K15+Datos!AE15-(Datos!U15+Datos!AM15))/(Datos!U15+Datos!AM15))," - ")</f>
        <v>6.1769616026711188E-2</v>
      </c>
      <c r="E15" s="472">
        <f>IF(ISNUMBER(
   IF(D_I="SI",(Datos!L15-Datos!V15)/Datos!V15,(Datos!L15+Datos!AF15-(Datos!V15+Datos!AN15))/(Datos!V15+Datos!AN15))
     ),IF(D_I="SI",(Datos!L15-Datos!V15)/Datos!V15,(Datos!L15+Datos!AF15-(Datos!V15+Datos!AN15))/(Datos!V15+Datos!AN15))," - ")</f>
        <v>7.7422345850718596E-2</v>
      </c>
      <c r="F15" s="472">
        <f>IF(ISNUMBER((Datos!M15-Datos!W15)/Datos!W15),(Datos!M15-Datos!W15)/Datos!W15," - ")</f>
        <v>1.0676156583629894E-2</v>
      </c>
      <c r="G15" s="473">
        <f>IF(ISNUMBER((Datos!N15-Datos!X15)/Datos!X15),(Datos!N15-Datos!X15)/Datos!X15," - ")</f>
        <v>2.7000964320154291E-2</v>
      </c>
      <c r="H15" s="471">
        <f>IF(ISNUMBER(((NºAsuntos!G15/NºAsuntos!E15)-Datos!BD15)/Datos!BD15),((NºAsuntos!G15/NºAsuntos!E15)-Datos!BD15)/Datos!BD15," - ")</f>
        <v>0.19419122163726593</v>
      </c>
      <c r="I15" s="472">
        <f>IF(ISNUMBER(((NºAsuntos!I15/NºAsuntos!G15)-Datos!BE15)/Datos!BE15),((NºAsuntos!I15/NºAsuntos!G15)-Datos!BE15)/Datos!BE15," - ")</f>
        <v>1.4742115038648432E-2</v>
      </c>
      <c r="J15" s="477">
        <f>IF(ISNUMBER((('Resol  Asuntos'!D15/NºAsuntos!G15)-Datos!BF15)/Datos!BF15),(('Resol  Asuntos'!D15/NºAsuntos!G15)-Datos!BF15)/Datos!BF15," - ")</f>
        <v>-4.8121041205040287E-2</v>
      </c>
      <c r="K15" s="478">
        <f>IF(ISNUMBER((((NºAsuntos!C15+NºAsuntos!E15)/NºAsuntos!G15)-Datos!BG15)/Datos!BG15),(((NºAsuntos!C15+NºAsuntos!E15)/NºAsuntos!G15)-Datos!BG15)/Datos!BG15," - ")</f>
        <v>-2.0064865449525023E-2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0.50485436893203883</v>
      </c>
      <c r="C17" s="472">
        <f>IF(ISNUMBER(
   IF(D_I="SI",(Datos!J17-Datos!T17)/Datos!T17,(Datos!J17+Datos!AD17-(Datos!T17+Datos!AL17))/(Datos!T17+Datos!AL17))
     ),IF(D_I="SI",(Datos!J17-Datos!T17)/Datos!T17,(Datos!J17+Datos!AD17-(Datos!T17+Datos!AL17))/(Datos!T17+Datos!AL17))," - ")</f>
        <v>0.84297520661157022</v>
      </c>
      <c r="D17" s="472">
        <f>IF(ISNUMBER(
   IF(D_I="SI",(Datos!K17-Datos!U17)/Datos!U17,(Datos!K17+Datos!AE17-(Datos!U17+Datos!AM17))/(Datos!U17+Datos!AM17))
     ),IF(D_I="SI",(Datos!K17-Datos!U17)/Datos!U17,(Datos!K17+Datos!AE17-(Datos!U17+Datos!AM17))/(Datos!U17+Datos!AM17))," - ")</f>
        <v>0.72573839662447259</v>
      </c>
      <c r="E17" s="472">
        <f>IF(ISNUMBER(
   IF(D_I="SI",(Datos!L17-Datos!V17)/Datos!V17,(Datos!L17+Datos!AF17-(Datos!V17+Datos!AN17))/(Datos!V17+Datos!AN17))
     ),IF(D_I="SI",(Datos!L17-Datos!V17)/Datos!V17,(Datos!L17+Datos!AF17-(Datos!V17+Datos!AN17))/(Datos!V17+Datos!AN17))," - ")</f>
        <v>0.77777777777777779</v>
      </c>
      <c r="F17" s="472">
        <f>IF(ISNUMBER((Datos!M17-Datos!W17)/Datos!W17),(Datos!M17-Datos!W17)/Datos!W17," - ")</f>
        <v>0.9</v>
      </c>
      <c r="G17" s="473">
        <f>IF(ISNUMBER((Datos!N17-Datos!X17)/Datos!X17),(Datos!N17-Datos!X17)/Datos!X17," - ")</f>
        <v>0.42592592592592593</v>
      </c>
      <c r="H17" s="471">
        <f>IF(ISNUMBER(((NºAsuntos!G17/NºAsuntos!E17)-Datos!BD17)/Datos!BD17),((NºAsuntos!G17/NºAsuntos!E17)-Datos!BD17)/Datos!BD17," - ")</f>
        <v>-6.3612798244120236E-2</v>
      </c>
      <c r="I17" s="472">
        <f>IF(ISNUMBER(((NºAsuntos!I17/NºAsuntos!G17)-Datos!BE17)/Datos!BE17),((NºAsuntos!I17/NºAsuntos!G17)-Datos!BE17)/Datos!BE17," - ")</f>
        <v>3.0154849225753899E-2</v>
      </c>
      <c r="J17" s="477">
        <f>IF(ISNUMBER((('Resol  Asuntos'!D17/NºAsuntos!G17)-Datos!BF17)/Datos!BF17),(('Resol  Asuntos'!D17/NºAsuntos!G17)-Datos!BF17)/Datos!BF17," - ")</f>
        <v>0.10097799511002441</v>
      </c>
      <c r="K17" s="478">
        <f>IF(ISNUMBER((((NºAsuntos!C17+NºAsuntos!E17)/NºAsuntos!G17)-Datos!BG17)/Datos!BG17),(((NºAsuntos!C17+NºAsuntos!E17)/NºAsuntos!G17)-Datos!BG17)/Datos!BG17," - ")</f>
        <v>9.4397788880620521E-3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0.20958373668925459</v>
      </c>
      <c r="C18" s="1001">
        <f>IF(ISNUMBER(
   IF(Criterios!B14="SI",(Datos!J18-Datos!T18)/Datos!T18,(Datos!J18+Datos!AD18-(Datos!T18+Datos!AL18))/(Datos!T18+Datos!AL18))
     ),IF(Criterios!B14="SI",(Datos!J18-Datos!T18)/Datos!T18,(Datos!J18+Datos!AD18-(Datos!T18+Datos!AL18))/(Datos!T18+Datos!AL18))," - ")</f>
        <v>-7.6062639821029079E-3</v>
      </c>
      <c r="D18" s="1001">
        <f>IF(ISNUMBER(
   IF(Criterios!B14="SI",(Datos!K18-Datos!U18)/Datos!U18,(Datos!K18+Datos!AE18-(Datos!U18+Datos!AM18))/(Datos!U18+Datos!AM18))
     ),IF(Criterios!B14="SI",(Datos!K18-Datos!U18)/Datos!U18,(Datos!K18+Datos!AE18-(Datos!U18+Datos!AM18))/(Datos!U18+Datos!AM18))," - ")</f>
        <v>0.13913470993117011</v>
      </c>
      <c r="E18" s="1001">
        <f>IF(ISNUMBER(
   IF(Criterios!B14="SI",(Datos!L18-Datos!V18)/Datos!V18,(Datos!L18+Datos!AF18-(Datos!V18+Datos!AN18))/(Datos!V18+Datos!AN18))
     ),IF(Criterios!B14="SI",(Datos!L18-Datos!V18)/Datos!V18,(Datos!L18+Datos!AF18-(Datos!V18+Datos!AN18))/(Datos!V18+Datos!AN18))," - ")</f>
        <v>0.11071901191001324</v>
      </c>
      <c r="F18" s="1002">
        <f>IF(ISNUMBER((Datos!M18-Datos!W18)/Datos!W18),(Datos!M18-Datos!W18)/Datos!W18," - ")</f>
        <v>9.6463022508038579E-2</v>
      </c>
      <c r="G18" s="1003">
        <f>IF(ISNUMBER((Datos!N18-Datos!X18)/Datos!X18),(Datos!N18-Datos!X18)/Datos!X18," - ")</f>
        <v>6.4628820960698691E-2</v>
      </c>
      <c r="H18" s="1003">
        <f>IF(ISNUMBER(((NºAsuntos!G18/NºAsuntos!E18)-Datos!BD18)/Datos!BD18),((NºAsuntos!G18/NºAsuntos!E18)-Datos!BD18)/Datos!BD18," - ")</f>
        <v>0.14786567930395195</v>
      </c>
      <c r="I18" s="1003">
        <f>IF(ISNUMBER(((NºAsuntos!I18/NºAsuntos!G18)-Datos!BE18)/Datos!BE18),((NºAsuntos!I18/NºAsuntos!G18)-Datos!BE18)/Datos!BE18," - ")</f>
        <v>-2.4944984797165805E-2</v>
      </c>
      <c r="J18" s="1003">
        <f>IF(ISNUMBER((('Resol  Asuntos'!D18/NºAsuntos!G18)-Datos!BF18)/Datos!BF18),(('Resol  Asuntos'!D18/NºAsuntos!G18)-Datos!BF18)/Datos!BF18," - ")</f>
        <v>-3.7459737686080942E-2</v>
      </c>
      <c r="K18" s="1003">
        <f>IF(ISNUMBER((((NºAsuntos!C18+NºAsuntos!E18)/NºAsuntos!G18)-Datos!BG18)/Datos!BG18),(((NºAsuntos!C18+NºAsuntos!E18)/NºAsuntos!G18)-Datos!BG18)/Datos!BG18," - ")</f>
        <v>-3.7232661714005542E-2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0.23472404730617608</v>
      </c>
      <c r="C19" s="948">
        <f>IF(ISNUMBER(
   IF(J_V="SI",(Datos!J19-Datos!T19)/Datos!T19,(Datos!J19+Datos!Z19-(Datos!T19+Datos!AH19))/(Datos!T19+Datos!AH19))
     ),IF(J_V="SI",(Datos!J19-Datos!T19)/Datos!T19,(Datos!J19+Datos!Z19-(Datos!T19+Datos!AH19))/(Datos!T19+Datos!AH19))," - ")</f>
        <v>4.6389035318924618E-2</v>
      </c>
      <c r="D19" s="948">
        <f>IF(ISNUMBER(
   IF(J_V="SI",(Datos!K19-Datos!U19)/Datos!U19,(Datos!K19+Datos!AA19-(Datos!U19+Datos!AI19))/(Datos!U19+Datos!AI19))
     ),IF(J_V="SI",(Datos!K19-Datos!U19)/Datos!U19,(Datos!K19+Datos!AA19-(Datos!U19+Datos!AI19))/(Datos!U19+Datos!AI19))," - ")</f>
        <v>0.18233618233618235</v>
      </c>
      <c r="E19" s="948">
        <f>IF(ISNUMBER(
   IF(J_V="SI",(Datos!L19-Datos!V19)/Datos!V19,(Datos!L19+Datos!AB19-(Datos!V19+Datos!AJ19))/(Datos!V19+Datos!AJ19))
     ),IF(J_V="SI",(Datos!L19-Datos!V19)/Datos!V19,(Datos!L19+Datos!AB19-(Datos!V19+Datos!AJ19))/(Datos!V19+Datos!AJ19))," - ")</f>
        <v>0.27992459943449577</v>
      </c>
      <c r="F19" s="949">
        <f>IF(ISNUMBER((Datos!M19-Datos!W19)/Datos!W19),(Datos!M19-Datos!W19)/Datos!W19," - ")</f>
        <v>9.2382495948136148E-2</v>
      </c>
      <c r="G19" s="950">
        <f>IF(ISNUMBER((Datos!N19-Datos!X19)/Datos!X19),(Datos!N19-Datos!X19)/Datos!X19," - ")</f>
        <v>0.13764044943820225</v>
      </c>
      <c r="H19" s="951">
        <f>IF(ISNUMBER((Tasas!B19-Datos!BD19)/Datos!BD19),(Tasas!B19-Datos!BD19)/Datos!BD19," - ")</f>
        <v>0.12992027097820558</v>
      </c>
      <c r="I19" s="952">
        <f>IF(ISNUMBER((Tasas!C19-Datos!BE19)/Datos!BE19),(Tasas!C19-Datos!BE19)/Datos!BE19," - ")</f>
        <v>8.2538637112067464E-2</v>
      </c>
      <c r="J19" s="953">
        <f>IF(ISNUMBER((Tasas!D19-Datos!BF19)/Datos!BF19),(Tasas!D19-Datos!BF19)/Datos!BF19," - ")</f>
        <v>-0.3993068163063212</v>
      </c>
      <c r="K19" s="953">
        <f>IF(ISNUMBER((Tasas!E19-Datos!BG19)/Datos!BG19),(Tasas!E19-Datos!BG19)/Datos!BG19," - ")</f>
        <v>-1.6847718743827809E-2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9AIOKVIEbIkDqdoNInvVeiAJD/ncc72AxfEzUo1vj3IOuJJGN7FNztGhEJZUdS8VBsnfLtGeOkGyxNaIsZ0TA==" saltValue="P4tDGW5qtFQHUcWxDW6s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BENIDORM</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1.0462962962962963</v>
      </c>
      <c r="C9" s="459">
        <f>IF(ISNUMBER(NºAsuntos!I9/NºAsuntos!G9),NºAsuntos!I9/NºAsuntos!G9," - ")</f>
        <v>3.0846238938053099</v>
      </c>
      <c r="D9" s="460">
        <f>IF(ISNUMBER('Resol  Asuntos'!D9/NºAsuntos!G9),'Resol  Asuntos'!D9/NºAsuntos!G9," - ")</f>
        <v>0.18141592920353983</v>
      </c>
      <c r="E9" s="461">
        <f>IF(ISNUMBER((NºAsuntos!C9+NºAsuntos!E9)/NºAsuntos!G9),(NºAsuntos!C9+NºAsuntos!E9)/NºAsuntos!G9," - ")</f>
        <v>3.7013274336283186</v>
      </c>
      <c r="G9" s="479"/>
    </row>
    <row r="10" spans="1:7">
      <c r="A10" s="413" t="str">
        <f>Datos!A10</f>
        <v>Jdos. Violencia contra la mujer</v>
      </c>
      <c r="B10" s="458">
        <f>IF(ISNUMBER(NºAsuntos!G10/NºAsuntos!E10),NºAsuntos!G10/NºAsuntos!E10," - ")</f>
        <v>1.0416666666666667</v>
      </c>
      <c r="C10" s="459">
        <f>IF(ISNUMBER(NºAsuntos!I10/NºAsuntos!G10),NºAsuntos!I10/NºAsuntos!G10," - ")</f>
        <v>2.04</v>
      </c>
      <c r="D10" s="460">
        <f>IF(ISNUMBER('Resol  Asuntos'!D10/NºAsuntos!G10),'Resol  Asuntos'!D10/NºAsuntos!G10," - ")</f>
        <v>0.2</v>
      </c>
      <c r="E10" s="461">
        <f>IF(ISNUMBER((NºAsuntos!C10+NºAsuntos!E10)/NºAsuntos!G10),(NºAsuntos!C10+NºAsuntos!E10)/NºAsuntos!G10," - ")</f>
        <v>3.04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1.0462328767123288</v>
      </c>
      <c r="C13" s="1005">
        <f>IF(ISNUMBER(NºAsuntos!I13/NºAsuntos!G13),NºAsuntos!I13/NºAsuntos!G13," - ")</f>
        <v>3.0714675395526458</v>
      </c>
      <c r="D13" s="1006">
        <f>IF(ISNUMBER('Resol  Asuntos'!D13/NºAsuntos!G13),'Resol  Asuntos'!D13/NºAsuntos!G13," - ")</f>
        <v>0.18166939443535188</v>
      </c>
      <c r="E13" s="1007">
        <f>IF(ISNUMBER((NºAsuntos!C13+NºAsuntos!E13)/NºAsuntos!G13),(NºAsuntos!C13+NºAsuntos!E13)/NºAsuntos!G13," - ")</f>
        <v>3.6933987997817783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1.0767494356659142</v>
      </c>
      <c r="C15" s="459">
        <f>IF(ISNUMBER(NºAsuntos!I15/NºAsuntos!G15),NºAsuntos!I15/NºAsuntos!G15," - ")</f>
        <v>1.2180293501048218</v>
      </c>
      <c r="D15" s="460">
        <f>IF(ISNUMBER('Resol  Asuntos'!D15/NºAsuntos!G15),'Resol  Asuntos'!D15/NºAsuntos!G15," - ")</f>
        <v>0.1488469601677149</v>
      </c>
      <c r="E15" s="461">
        <f>IF(ISNUMBER((NºAsuntos!C15+NºAsuntos!E15)/NºAsuntos!G15),(NºAsuntos!C15+NºAsuntos!E15)/NºAsuntos!G15," - ")</f>
        <v>2.1561844863731654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0.9170403587443946</v>
      </c>
      <c r="C17" s="459">
        <f>IF(ISNUMBER(NºAsuntos!I17/NºAsuntos!G17),NºAsuntos!I17/NºAsuntos!G17," - ")</f>
        <v>0.46943765281173594</v>
      </c>
      <c r="D17" s="460">
        <f>IF(ISNUMBER('Resol  Asuntos'!D17/NºAsuntos!G17),'Resol  Asuntos'!D17/NºAsuntos!G17," - ")</f>
        <v>0.13936430317848411</v>
      </c>
      <c r="E17" s="461">
        <f>IF(ISNUMBER((NºAsuntos!C17+NºAsuntos!E17)/NºAsuntos!G17),(NºAsuntos!C17+NºAsuntos!E17)/NºAsuntos!G17," - ")</f>
        <v>1.4694376528117359</v>
      </c>
      <c r="G17" s="479"/>
    </row>
    <row r="18" spans="1:7" ht="14.25" thickTop="1" thickBot="1">
      <c r="A18" s="994" t="str">
        <f>Datos!A18</f>
        <v>TOTAL</v>
      </c>
      <c r="B18" s="1004">
        <f>IF(ISNUMBER(NºAsuntos!G18/NºAsuntos!E18),NºAsuntos!G18/NºAsuntos!E18," - ")</f>
        <v>1.0446348061316502</v>
      </c>
      <c r="C18" s="1005">
        <f>IF(ISNUMBER(NºAsuntos!I18/NºAsuntos!G18),NºAsuntos!I18/NºAsuntos!G18," - ")</f>
        <v>1.0867501078981441</v>
      </c>
      <c r="D18" s="1008">
        <f>IF(ISNUMBER('Resol  Asuntos'!D18/NºAsuntos!G18),'Resol  Asuntos'!D18/NºAsuntos!G18," - ")</f>
        <v>0.14717306862321969</v>
      </c>
      <c r="E18" s="1007">
        <f>IF(ISNUMBER((NºAsuntos!C18+NºAsuntos!E18)/NºAsuntos!G18),(NºAsuntos!C18+NºAsuntos!E18)/NºAsuntos!G18," - ")</f>
        <v>2.0358221838584378</v>
      </c>
      <c r="G18" s="479"/>
    </row>
    <row r="19" spans="1:7" ht="15.75" customHeight="1" thickTop="1" thickBot="1">
      <c r="A19" s="939" t="str">
        <f>Datos!A19</f>
        <v>TOTAL JURISDICCIONES</v>
      </c>
      <c r="B19" s="954">
        <f>IF(ISNUMBER(NºAsuntos!G19/NºAsuntos!E19),NºAsuntos!G19/NºAsuntos!E19," - ")</f>
        <v>1.0453400503778338</v>
      </c>
      <c r="C19" s="955">
        <f>IF(ISNUMBER(NºAsuntos!I19/NºAsuntos!G19),NºAsuntos!I19/NºAsuntos!G19," - ")</f>
        <v>1.9633734939759035</v>
      </c>
      <c r="D19" s="956">
        <f>IF(ISNUMBER('Resol  Asuntos'!D19/NºAsuntos!G19),'Resol  Asuntos'!D19/NºAsuntos!G19," - ")</f>
        <v>0.16240963855421686</v>
      </c>
      <c r="E19" s="957">
        <f>IF(ISNUMBER((NºAsuntos!C19+NºAsuntos!E19)/NºAsuntos!G19),(NºAsuntos!C19+NºAsuntos!E19)/NºAsuntos!G19," - ")</f>
        <v>2.7679518072289158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i28/kp047dkcMRHm5nnOqfLaZdsI5PcWRoaYToWgL5uvBLNkXKBYSbi9fV6VEKdQ+9HCVbDnqPfhzWU90RDiQ==" saltValue="NJIc9tpoUcYTGfj+YgSx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BENIDORM</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345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518</v>
      </c>
      <c r="Y9" s="343">
        <f>SUM(W9:X9)</f>
        <v>518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6304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328</v>
      </c>
      <c r="AJ9" s="233" t="str">
        <f>IF(ISNUMBER(Datos!BW9),Datos!BW9," - ")</f>
        <v xml:space="preserve"> - </v>
      </c>
      <c r="AK9" s="232" t="str">
        <f>IF(ISNUMBER(Datos!BX9),Datos!BX9," - ")</f>
        <v xml:space="preserve"> - </v>
      </c>
      <c r="AL9" s="247">
        <f>IF(ISNUMBER(NºAsuntos!G9/NºAsuntos!E9),NºAsuntos!G9/NºAsuntos!E9," - ")</f>
        <v>1.0462962962962963</v>
      </c>
      <c r="AM9" s="264">
        <f>IF(ISNUMBER(((NºAsuntos!I9/NºAsuntos!G9)*11)/factor_trimestre),((NºAsuntos!I9/NºAsuntos!G9)*11)/factor_trimestre," - ")</f>
        <v>6.1692477876106189</v>
      </c>
      <c r="AN9" s="248">
        <f>IF(ISNUMBER('Resol  Asuntos'!D9/NºAsuntos!G9),'Resol  Asuntos'!D9/NºAsuntos!G9," - ")</f>
        <v>0.18141592920353983</v>
      </c>
      <c r="AO9" s="249">
        <f>IF(ISNUMBER((NºAsuntos!C9+NºAsuntos!E9)/NºAsuntos!G9),(NºAsuntos!C9+NºAsuntos!E9)/NºAsuntos!G9," - ")</f>
        <v>3.7013274336283186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52</v>
      </c>
      <c r="G10" s="342">
        <f>IF(ISNUMBER(Datos!I10),Datos!I10," - ")</f>
        <v>52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25</v>
      </c>
      <c r="X10" s="230">
        <f>IF(ISNUMBER(Datos!Q10),Datos!Q10," - ")</f>
        <v>1</v>
      </c>
      <c r="Y10" s="343">
        <f t="shared" ref="Y10:Y12" si="0">SUM(W10:X10)</f>
        <v>26</v>
      </c>
      <c r="Z10" s="344" t="str">
        <f>IF(ISNUMBER(Datos!CC10),Datos!CC10," - ")</f>
        <v xml:space="preserve"> - </v>
      </c>
      <c r="AA10" s="341">
        <f>IF(ISNUMBER(Datos!L10),Datos!L10,"-")</f>
        <v>51</v>
      </c>
      <c r="AB10" s="343">
        <f>IF(ISNUMBER(Datos!R10),Datos!R10," - ")</f>
        <v>43</v>
      </c>
      <c r="AC10" s="343">
        <f t="shared" ref="AC10:AC12" si="1">IF(ISNUMBER(AA10+AB10),AA10+AB10," - ")</f>
        <v>94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1.0416666666666667</v>
      </c>
      <c r="AM10" s="264">
        <f>IF(ISNUMBER(((NºAsuntos!I10/NºAsuntos!G10)*11)/factor_trimestre),((NºAsuntos!I10/NºAsuntos!G10)*11)/factor_trimestre," - ")</f>
        <v>4.08</v>
      </c>
      <c r="AN10" s="248">
        <f>IF(ISNUMBER('Resol  Asuntos'!D10/NºAsuntos!G10),'Resol  Asuntos'!D10/NºAsuntos!G10," - ")</f>
        <v>0.2</v>
      </c>
      <c r="AO10" s="249">
        <f>IF(ISNUMBER((NºAsuntos!C10+NºAsuntos!E10)/NºAsuntos!G10),(NºAsuntos!C10+NºAsuntos!E10)/NºAsuntos!G10," - ")</f>
        <v>3.04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52</v>
      </c>
      <c r="G13" s="1012">
        <f t="shared" si="3"/>
        <v>52</v>
      </c>
      <c r="H13" s="1011">
        <f t="shared" si="3"/>
        <v>0</v>
      </c>
      <c r="I13" s="1013">
        <f t="shared" si="3"/>
        <v>0</v>
      </c>
      <c r="J13" s="1013">
        <f t="shared" si="3"/>
        <v>0</v>
      </c>
      <c r="K13" s="1013">
        <f t="shared" si="3"/>
        <v>0</v>
      </c>
      <c r="L13" s="1013">
        <f t="shared" si="3"/>
        <v>346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25</v>
      </c>
      <c r="X13" s="1013">
        <f t="shared" si="4"/>
        <v>519</v>
      </c>
      <c r="Y13" s="1014">
        <f t="shared" si="4"/>
        <v>544</v>
      </c>
      <c r="Z13" s="1014">
        <f t="shared" si="4"/>
        <v>0</v>
      </c>
      <c r="AA13" s="1014">
        <f t="shared" si="4"/>
        <v>51</v>
      </c>
      <c r="AB13" s="1014">
        <f t="shared" si="4"/>
        <v>6377</v>
      </c>
      <c r="AC13" s="1014">
        <f t="shared" si="4"/>
        <v>94</v>
      </c>
      <c r="AD13" s="1014">
        <f t="shared" si="4"/>
        <v>0</v>
      </c>
      <c r="AE13" s="1018">
        <f t="shared" si="4"/>
        <v>0</v>
      </c>
      <c r="AF13" s="1011">
        <f t="shared" si="4"/>
        <v>0</v>
      </c>
      <c r="AG13" s="1019">
        <f t="shared" si="4"/>
        <v>0</v>
      </c>
      <c r="AH13" s="1016">
        <f t="shared" si="4"/>
        <v>0</v>
      </c>
      <c r="AI13" s="1011">
        <f t="shared" si="4"/>
        <v>333</v>
      </c>
      <c r="AJ13" s="1013">
        <f t="shared" si="4"/>
        <v>0</v>
      </c>
      <c r="AK13" s="1016">
        <f>SUBTOTAL(9,AK9:AK12)</f>
        <v>0</v>
      </c>
      <c r="AL13" s="1020">
        <f>IF(ISNUMBER(NºAsuntos!G13/NºAsuntos!E13),NºAsuntos!G13/NºAsuntos!E13," - ")</f>
        <v>1.0462328767123288</v>
      </c>
      <c r="AM13" s="1020">
        <f>IF(ISNUMBER(((NºAsuntos!I13/NºAsuntos!G13)*11)/factor_trimestre),((NºAsuntos!I13/NºAsuntos!G13)*11)/factor_trimestre," - ")</f>
        <v>6.1429350791052917</v>
      </c>
      <c r="AN13" s="1021">
        <f>IF(ISNUMBER('Resol  Asuntos'!D13/NºAsuntos!G13),'Resol  Asuntos'!D13/NºAsuntos!G13," - ")</f>
        <v>0.18166939443535188</v>
      </c>
      <c r="AO13" s="1022">
        <f>IF(ISNUMBER((NºAsuntos!C13+NºAsuntos!E13)/NºAsuntos!G13),(NºAsuntos!C13+NºAsuntos!E13)/NºAsuntos!G13," - ")</f>
        <v>3.6933987997817783</v>
      </c>
      <c r="AP13" s="1023" t="str">
        <f t="shared" si="2"/>
        <v xml:space="preserve"> - </v>
      </c>
      <c r="AQ13" s="1023">
        <f>IF(ISNUMBER((H13-W13+K13)/(F13)),(H13-W13+K13)/(F13)," - ")</f>
        <v>-0.48076923076923078</v>
      </c>
      <c r="AR13" s="1024">
        <f>IF(ISNUMBER((Datos!P13-Datos!Q13)/(Datos!R13-Datos!P13+Datos!Q13)),(Datos!P13-Datos!Q13)/(Datos!R13-Datos!P13+Datos!Q13)," - ")</f>
        <v>-2.6412213740458015E-2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2460</v>
      </c>
      <c r="G15" s="342">
        <f>IF(ISNUMBER(IF(D_I="SI",Datos!I15,Datos!I15+Datos!AC15)),IF(D_I="SI",Datos!I15,Datos!I15+Datos!AC15)," - ")</f>
        <v>2342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1908</v>
      </c>
      <c r="X15" s="230">
        <f>IF(ISNUMBER(Datos!Q15),Datos!Q15," - ")</f>
        <v>63</v>
      </c>
      <c r="Y15" s="343">
        <f>SUM(W15)</f>
        <v>1908</v>
      </c>
      <c r="Z15" s="344" t="str">
        <f>IF(ISNUMBER(Datos!CC15),Datos!CC15," - ")</f>
        <v xml:space="preserve"> - </v>
      </c>
      <c r="AA15" s="341">
        <f>IF(ISNUMBER(IF(D_I="SI",Datos!L15,Datos!L15+Datos!AF15)),IF(D_I="SI",Datos!L15,Datos!L15+Datos!AF15)," - ")</f>
        <v>2324</v>
      </c>
      <c r="AB15" s="343">
        <f>IF(ISNUMBER(Datos!R15),Datos!R15," - ")</f>
        <v>288</v>
      </c>
      <c r="AC15" s="343">
        <f t="shared" ref="AC15:AC17" si="6">IF(ISNUMBER(AA15+AB15),AA15+AB15," - ")</f>
        <v>2612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284</v>
      </c>
      <c r="AJ15" s="235" t="str">
        <f>IF(ISNUMBER(Datos!BW15),Datos!BW15," - ")</f>
        <v xml:space="preserve"> - </v>
      </c>
      <c r="AK15" s="236" t="str">
        <f>IF(ISNUMBER(Datos!BX15),Datos!BX15," - ")</f>
        <v xml:space="preserve"> - </v>
      </c>
      <c r="AL15" s="247">
        <f>IF(ISNUMBER(NºAsuntos!G15/NºAsuntos!E15),NºAsuntos!G15/NºAsuntos!E15," - ")</f>
        <v>1.0767494356659142</v>
      </c>
      <c r="AM15" s="264">
        <f>IF(ISNUMBER(((NºAsuntos!I15/NºAsuntos!G15)*11)/factor_trimestre),((NºAsuntos!I15/NºAsuntos!G15)*11)/factor_trimestre," - ")</f>
        <v>2.4360587002096437</v>
      </c>
      <c r="AN15" s="248">
        <f>IF(ISNUMBER('Resol  Asuntos'!D15/NºAsuntos!G15),'Resol  Asuntos'!D15/NºAsuntos!G15," - ")</f>
        <v>0.1488469601677149</v>
      </c>
      <c r="AO15" s="249">
        <f>IF(ISNUMBER((NºAsuntos!C15+NºAsuntos!E15)/NºAsuntos!G15),(NºAsuntos!C15+NºAsuntos!E15)/NºAsuntos!G15," - ")</f>
        <v>2.1561844863731654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2</v>
      </c>
      <c r="G16" s="342">
        <f>IF(ISNUMBER(IF(D_I="SI",Datos!I16,Datos!I16+Datos!AC16)),IF(D_I="SI",Datos!I16,Datos!I16+Datos!AC16)," - ")</f>
        <v>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2</v>
      </c>
      <c r="AB16" s="343">
        <f>IF(ISNUMBER(Datos!R16),Datos!R16," - ")</f>
        <v>0</v>
      </c>
      <c r="AC16" s="343">
        <f t="shared" si="6"/>
        <v>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155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409</v>
      </c>
      <c r="X17" s="230">
        <f>IF(ISNUMBER(Datos!Q17),Datos!Q17," - ")</f>
        <v>2</v>
      </c>
      <c r="Y17" s="343">
        <f t="shared" si="7"/>
        <v>411</v>
      </c>
      <c r="Z17" s="344" t="str">
        <f>IF(ISNUMBER(Datos!CC17),Datos!CC17," - ")</f>
        <v xml:space="preserve"> - </v>
      </c>
      <c r="AA17" s="341">
        <f>IF(ISNUMBER(Datos!L17),Datos!L17,"-")</f>
        <v>192</v>
      </c>
      <c r="AB17" s="343">
        <f>IF(ISNUMBER(Datos!R17),Datos!R17," - ")</f>
        <v>6</v>
      </c>
      <c r="AC17" s="343">
        <f t="shared" si="6"/>
        <v>198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57</v>
      </c>
      <c r="AJ17" s="235" t="str">
        <f>IF(ISNUMBER(Datos!BW17),Datos!BW17," - ")</f>
        <v xml:space="preserve"> - </v>
      </c>
      <c r="AK17" s="236" t="str">
        <f>IF(ISNUMBER(Datos!BX17),Datos!BX17," - ")</f>
        <v xml:space="preserve"> - </v>
      </c>
      <c r="AL17" s="247">
        <f>IF(ISNUMBER(NºAsuntos!G17/NºAsuntos!E17),NºAsuntos!G17/NºAsuntos!E17," - ")</f>
        <v>0.9170403587443946</v>
      </c>
      <c r="AM17" s="264">
        <f>IF(ISNUMBER(((NºAsuntos!I17/NºAsuntos!G17)*11)/factor_trimestre),((NºAsuntos!I17/NºAsuntos!G17)*11)/factor_trimestre," - ")</f>
        <v>0.93887530562347188</v>
      </c>
      <c r="AN17" s="248">
        <f>IF(ISNUMBER('Resol  Asuntos'!D17/NºAsuntos!G17),'Resol  Asuntos'!D17/NºAsuntos!G17," - ")</f>
        <v>0.13936430317848411</v>
      </c>
      <c r="AO17" s="249">
        <f>IF(ISNUMBER((NºAsuntos!C17+NºAsuntos!E17)/NºAsuntos!G17),(NºAsuntos!C17+NºAsuntos!E17)/NºAsuntos!G17," - ")</f>
        <v>1.4694376528117359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2462</v>
      </c>
      <c r="G18" s="1012">
        <f>SUBTOTAL(9,G15:G17)</f>
        <v>2499</v>
      </c>
      <c r="H18" s="1011">
        <f t="shared" ref="H18:O18" si="10">SUBTOTAL(9,H14:H17)</f>
        <v>0</v>
      </c>
      <c r="I18" s="1013">
        <f t="shared" si="10"/>
        <v>0</v>
      </c>
      <c r="J18" s="1013">
        <f t="shared" si="10"/>
        <v>0</v>
      </c>
      <c r="K18" s="1013">
        <f t="shared" si="10"/>
        <v>0</v>
      </c>
      <c r="L18" s="1013">
        <f t="shared" si="10"/>
        <v>74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2317</v>
      </c>
      <c r="X18" s="1013">
        <f t="shared" si="11"/>
        <v>65</v>
      </c>
      <c r="Y18" s="1014">
        <f t="shared" si="11"/>
        <v>2319</v>
      </c>
      <c r="Z18" s="1014">
        <f t="shared" si="11"/>
        <v>0</v>
      </c>
      <c r="AA18" s="1014">
        <f t="shared" si="11"/>
        <v>2518</v>
      </c>
      <c r="AB18" s="1014">
        <f t="shared" si="11"/>
        <v>294</v>
      </c>
      <c r="AC18" s="1014">
        <f t="shared" si="11"/>
        <v>2812</v>
      </c>
      <c r="AD18" s="1014">
        <f t="shared" si="11"/>
        <v>0</v>
      </c>
      <c r="AE18" s="1018">
        <f t="shared" si="11"/>
        <v>0</v>
      </c>
      <c r="AF18" s="1011">
        <f t="shared" si="11"/>
        <v>0</v>
      </c>
      <c r="AG18" s="1019">
        <f t="shared" si="11"/>
        <v>0</v>
      </c>
      <c r="AH18" s="1016">
        <f t="shared" si="11"/>
        <v>0</v>
      </c>
      <c r="AI18" s="1011">
        <f t="shared" si="11"/>
        <v>341</v>
      </c>
      <c r="AJ18" s="1013">
        <f t="shared" si="11"/>
        <v>0</v>
      </c>
      <c r="AK18" s="1016">
        <f t="shared" si="11"/>
        <v>0</v>
      </c>
      <c r="AL18" s="1020">
        <f>IF(ISNUMBER(NºAsuntos!G18/NºAsuntos!E18),NºAsuntos!G18/NºAsuntos!E18," - ")</f>
        <v>1.0446348061316502</v>
      </c>
      <c r="AM18" s="1020">
        <f>IF(ISNUMBER(((NºAsuntos!I18/NºAsuntos!G18)*11)/factor_trimestre),((NºAsuntos!I18/NºAsuntos!G18)*11)/factor_trimestre," - ")</f>
        <v>2.1735002157962882</v>
      </c>
      <c r="AN18" s="1021">
        <f>IF(ISNUMBER('Resol  Asuntos'!D18/NºAsuntos!G18),'Resol  Asuntos'!D18/NºAsuntos!G18," - ")</f>
        <v>0.14717306862321969</v>
      </c>
      <c r="AO18" s="1022">
        <f>IF(ISNUMBER((NºAsuntos!C18+NºAsuntos!E18)/NºAsuntos!G18),(NºAsuntos!C18+NºAsuntos!E18)/NºAsuntos!G18," - ")</f>
        <v>2.0358221838584378</v>
      </c>
      <c r="AP18" s="1023" t="str">
        <f t="shared" si="2"/>
        <v xml:space="preserve"> - </v>
      </c>
      <c r="AQ18" s="1023">
        <f>IF(ISNUMBER((H18-W18+K18)/(F18)),(H18-W18+K18)/(F18)," - ")</f>
        <v>-0.94110479285134041</v>
      </c>
      <c r="AR18" s="1024">
        <f>IF(ISNUMBER((Datos!P18-Datos!Q18)/(Datos!R18-Datos!P18+Datos!Q18)),(Datos!P18-Datos!Q18)/(Datos!R18-Datos!P18+Datos!Q18)," - ")</f>
        <v>3.1578947368421054E-2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2514</v>
      </c>
      <c r="G19" s="967">
        <f t="shared" si="13"/>
        <v>2551</v>
      </c>
      <c r="H19" s="966">
        <f t="shared" si="13"/>
        <v>0</v>
      </c>
      <c r="I19" s="968">
        <f t="shared" si="13"/>
        <v>0</v>
      </c>
      <c r="J19" s="968">
        <f t="shared" si="13"/>
        <v>0</v>
      </c>
      <c r="K19" s="1027">
        <f t="shared" si="13"/>
        <v>0</v>
      </c>
      <c r="L19" s="968">
        <f t="shared" si="13"/>
        <v>420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2342</v>
      </c>
      <c r="X19" s="967">
        <f t="shared" si="14"/>
        <v>584</v>
      </c>
      <c r="Y19" s="974">
        <f t="shared" si="14"/>
        <v>2863</v>
      </c>
      <c r="Z19" s="974">
        <f t="shared" si="14"/>
        <v>0</v>
      </c>
      <c r="AA19" s="974">
        <f t="shared" si="14"/>
        <v>2569</v>
      </c>
      <c r="AB19" s="974">
        <f t="shared" si="14"/>
        <v>6671</v>
      </c>
      <c r="AC19" s="974">
        <f t="shared" si="14"/>
        <v>2906</v>
      </c>
      <c r="AD19" s="974">
        <f t="shared" si="14"/>
        <v>0</v>
      </c>
      <c r="AE19" s="976">
        <f t="shared" si="14"/>
        <v>0</v>
      </c>
      <c r="AF19" s="977">
        <f t="shared" si="14"/>
        <v>0</v>
      </c>
      <c r="AG19" s="978">
        <f t="shared" si="14"/>
        <v>0</v>
      </c>
      <c r="AH19" s="976">
        <f t="shared" si="14"/>
        <v>0</v>
      </c>
      <c r="AI19" s="966">
        <f t="shared" si="14"/>
        <v>674</v>
      </c>
      <c r="AJ19" s="966">
        <f t="shared" si="14"/>
        <v>0</v>
      </c>
      <c r="AK19" s="976">
        <f t="shared" si="14"/>
        <v>0</v>
      </c>
      <c r="AL19" s="1030">
        <f>IF(ISNUMBER(NºAsuntos!G19/NºAsuntos!E19),NºAsuntos!G19/NºAsuntos!E19," - ")</f>
        <v>1.0453400503778338</v>
      </c>
      <c r="AM19" s="1031">
        <f>IF(ISNUMBER(((NºAsuntos!I19/NºAsuntos!G19)*11)/factor_trimestre),((NºAsuntos!I19/NºAsuntos!G19)*11)/factor_trimestre," - ")</f>
        <v>3.9267469879518071</v>
      </c>
      <c r="AN19" s="1031">
        <f>IF(ISNUMBER('Resol  Asuntos'!D19/NºAsuntos!G19),'Resol  Asuntos'!D19/NºAsuntos!G19," - ")</f>
        <v>0.16240963855421686</v>
      </c>
      <c r="AO19" s="1032">
        <f>IF(ISNUMBER((NºAsuntos!C19+NºAsuntos!E19)/NºAsuntos!G19),(NºAsuntos!C19+NºAsuntos!E19)/NºAsuntos!G19," - ")</f>
        <v>2.7679518072289158</v>
      </c>
      <c r="AP19" s="1033" t="str">
        <f t="shared" si="2"/>
        <v xml:space="preserve"> - </v>
      </c>
      <c r="AQ19" s="1034">
        <f>IF(OR(ISNUMBER(FIND("01",Criterios!A8,1)),ISNUMBER(FIND("02",Criterios!A8,1)),ISNUMBER(FIND("03",Criterios!A8,1)),ISNUMBER(FIND("04",Criterios!A8,1))),(I19-W19+K19)/(F19-K19),(H19-W19+K19)/(F19-K19))</f>
        <v>-0.93158313444709628</v>
      </c>
      <c r="AR19" s="1035">
        <f>IF(ISNUMBER((Datos!P19-Datos!Q19)/(Datos!R19-Datos!P19+Datos!Q19)),(Datos!P19-Datos!Q19)/(Datos!R19-Datos!P19+Datos!Q19)," - ")</f>
        <v>-2.399414776883687E-2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850.33333333333337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1328.749336782525</v>
      </c>
      <c r="G21" s="257">
        <f>IF(ISNUMBER(STDEV(G8:G18)),STDEV(G8:G18),"-")</f>
        <v>1218.277581943732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1050.7941124057875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165.41981225268722</v>
      </c>
      <c r="AJ21" s="256">
        <f t="shared" si="18"/>
        <v>0</v>
      </c>
      <c r="AK21" s="258">
        <f t="shared" si="18"/>
        <v>0</v>
      </c>
      <c r="AL21" s="253">
        <f t="shared" si="18"/>
        <v>5.6241760625953208E-2</v>
      </c>
      <c r="AM21" s="254">
        <f t="shared" si="18"/>
        <v>2.1794431383537232</v>
      </c>
      <c r="AN21" s="254">
        <f t="shared" si="18"/>
        <v>2.4479806893697411E-2</v>
      </c>
      <c r="AO21" s="255">
        <f t="shared" si="18"/>
        <v>0.93321511137428848</v>
      </c>
      <c r="AP21" s="295" t="str">
        <f t="shared" si="18"/>
        <v>-</v>
      </c>
      <c r="AQ21" s="296">
        <f t="shared" si="18"/>
        <v>0.32550639756958066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hEVunNTUYslCKZ6bI/mLYpb2de5cl+JWOTERs/9iRZ7NRFFp5LVefkNC7RodxLiJVeFD0qVplpjt9UQNiYnlw==" saltValue="D7t1nzEe1TiinOyuw2U0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BENIDORM</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0.10437710437710437</v>
      </c>
      <c r="I9" s="359">
        <f>IF(ISNUMBER((Tasas!C9-Datos!BE9)/Datos!BE9),(Tasas!C9-Datos!BE9)/Datos!BE9," - ")</f>
        <v>0.10936892875385844</v>
      </c>
      <c r="J9" s="358">
        <f>IF(ISNUMBER((Tasas!D9-Datos!BF9)/Datos!BF9),(Tasas!D9-Datos!BF9)/Datos!BF9," - ")</f>
        <v>-0.57948422133742283</v>
      </c>
      <c r="K9" s="360">
        <f>IF(ISNUMBER((Tasas!E9-Datos!BG9)/Datos!BG9),(Tasas!E9-Datos!BG9)/Datos!BG9," - ")</f>
        <v>-2.0947859537356891E-2</v>
      </c>
      <c r="M9" t="e">
        <f>IF(Monitorios="SI",Datos!CE9,0)</f>
        <v>#REF!</v>
      </c>
      <c r="N9" t="e">
        <f>IF(Monitorios="SI",Datos!CF9,0)</f>
        <v>#REF!</v>
      </c>
      <c r="O9" t="e">
        <f>IF(Monitorios="SI",Datos!CG9,0)</f>
        <v>#REF!</v>
      </c>
      <c r="P9" t="e">
        <f>IF(Monitorios="SI",Datos!CH9,0)</f>
        <v>#REF!</v>
      </c>
      <c r="Q9">
        <f>IF(J_V="SI",0,Datos!AG9)</f>
        <v>154</v>
      </c>
      <c r="R9">
        <f>IF(J_V="SI",0,Datos!AH9)</f>
        <v>142</v>
      </c>
      <c r="S9">
        <f>IF(J_V="SI",0,Datos!AI9)</f>
        <v>130</v>
      </c>
      <c r="T9">
        <f>IF(J_V="SI",0,Datos!AJ9)</f>
        <v>166</v>
      </c>
    </row>
    <row r="10" spans="2:20" ht="14.25">
      <c r="B10" s="279" t="s">
        <v>249</v>
      </c>
      <c r="C10" s="7" t="str">
        <f>Datos!A10</f>
        <v>Jdos. Violencia contra la mujer</v>
      </c>
      <c r="D10" s="361">
        <f>IF(ISNUMBER((Datos!I10-Datos!S10)/Datos!S10),(Datos!I10-Datos!S10)/Datos!S10," - ")</f>
        <v>0</v>
      </c>
      <c r="E10" s="357">
        <f>IF(ISNUMBER((Datos!J10-Datos!T10)/Datos!T10),(Datos!J10-Datos!T10)/Datos!T10," - ")</f>
        <v>0.6</v>
      </c>
      <c r="F10" s="357">
        <f>IF(ISNUMBER((Datos!K10-Datos!U10)/Datos!U10),(Datos!K10-Datos!U10)/Datos!U10," - ")</f>
        <v>0.3888888888888889</v>
      </c>
      <c r="G10" s="358">
        <f>IF(ISNUMBER((Datos!L10-Datos!V10)/Datos!V10),(Datos!L10-Datos!V10)/Datos!V10," - ")</f>
        <v>0.18604651162790697</v>
      </c>
      <c r="H10" s="234">
        <f>IF(ISNUMBER((Datos!M10-Datos!W10)/Datos!W10),(Datos!M10-Datos!W10)/Datos!W10," - ")</f>
        <v>-0.44444444444444442</v>
      </c>
      <c r="I10" s="359">
        <f>IF(ISNUMBER((Tasas!C10-Datos!BE10)/Datos!BE10),(Tasas!C10-Datos!BE10)/Datos!BE10," - ")</f>
        <v>-0.14604651162790694</v>
      </c>
      <c r="J10" s="358">
        <f>IF(ISNUMBER((Tasas!D10-Datos!BF10)/Datos!BF10),(Tasas!D10-Datos!BF10)/Datos!BF10," - ")</f>
        <v>-0.6</v>
      </c>
      <c r="K10" s="360">
        <f>IF(ISNUMBER((Tasas!E10-Datos!BG10)/Datos!BG10),(Tasas!E10-Datos!BG10)/Datos!BG10," - ")</f>
        <v>-0.18328358208955225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8.8235294117647065E-2</v>
      </c>
      <c r="I13" s="366">
        <f>IF(ISNUMBER((Tasas!C13-Datos!BE13)/Datos!BE13),(Tasas!C13-Datos!BE13)/Datos!BE13," - ")</f>
        <v>0.10599806986574906</v>
      </c>
      <c r="J13" s="364">
        <f>IF(ISNUMBER((Tasas!D13-Datos!BF13)/Datos!BF13),(Tasas!D13-Datos!BF13)/Datos!BF13," - ")</f>
        <v>-0.57971155770128635</v>
      </c>
      <c r="K13" s="367">
        <f>IF(ISNUMBER((Tasas!E13-Datos!BG13)/Datos!BG13),(Tasas!E13-Datos!BG13)/Datos!BG13," - ")</f>
        <v>-2.3211498212165362E-2</v>
      </c>
      <c r="M13" t="e">
        <f>IF(Monitorios="SI",Datos!CE13,0)</f>
        <v>#REF!</v>
      </c>
      <c r="N13" t="e">
        <f>IF(Monitorios="SI",Datos!CF13,0)</f>
        <v>#REF!</v>
      </c>
      <c r="O13" t="e">
        <f>IF(Monitorios="SI",Datos!CG13,0)</f>
        <v>#REF!</v>
      </c>
      <c r="P13" t="e">
        <f>IF(Monitorios="SI",Datos!CH13,0)</f>
        <v>#REF!</v>
      </c>
      <c r="Q13">
        <f>IF(J_V="SI",0,Datos!AG13)</f>
        <v>154</v>
      </c>
      <c r="R13">
        <f>IF(J_V="SI",0,Datos!AH13)</f>
        <v>142</v>
      </c>
      <c r="S13">
        <f>IF(J_V="SI",0,Datos!AI13)</f>
        <v>130</v>
      </c>
      <c r="T13">
        <f>IF(J_V="SI",0,Datos!AJ13)</f>
        <v>166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0.19428862825089241</v>
      </c>
      <c r="E15" s="357">
        <f>IF(ISNUMBER(
   IF(D_I="SI",(Datos!J15-Datos!T15)/Datos!T15,(Datos!J15+Datos!AD15-(Datos!T15+Datos!AL15))/(Datos!T15+Datos!AL15))
     ),IF(D_I="SI",(Datos!J15-Datos!T15)/Datos!T15,(Datos!J15+Datos!AD15-(Datos!T15+Datos!AL15))/(Datos!T15+Datos!AL15))," - ")</f>
        <v>-0.11088810837932765</v>
      </c>
      <c r="F15" s="357">
        <f>IF(ISNUMBER(
   IF(D_I="SI",(Datos!K15-Datos!U15)/Datos!U15,(Datos!K15+Datos!AE15-(Datos!U15+Datos!AM15))/(Datos!U15+Datos!AM15))
     ),IF(D_I="SI",(Datos!K15-Datos!U15)/Datos!U15,(Datos!K15+Datos!AE15-(Datos!U15+Datos!AM15))/(Datos!U15+Datos!AM15))," - ")</f>
        <v>6.1769616026711188E-2</v>
      </c>
      <c r="G15" s="358">
        <f>IF(ISNUMBER(
   IF(D_I="SI",(Datos!L15-Datos!V15)/Datos!V15,(Datos!L15+Datos!AF15-(Datos!V15+Datos!AN15))/(Datos!V15+Datos!AN15))
     ),IF(D_I="SI",(Datos!L15-Datos!V15)/Datos!V15,(Datos!L15+Datos!AF15-(Datos!V15+Datos!AN15))/(Datos!V15+Datos!AN15))," - ")</f>
        <v>7.7422345850718596E-2</v>
      </c>
      <c r="H15" s="234">
        <f>IF(ISNUMBER((Datos!M15-Datos!W15)/Datos!W15),(Datos!M15-Datos!W15)/Datos!W15," - ")</f>
        <v>1.0676156583629894E-2</v>
      </c>
      <c r="I15" s="359">
        <f>IF(ISNUMBER((Tasas!C15-Datos!BE15)/Datos!BE15),(Tasas!C15-Datos!BE15)/Datos!BE15," - ")</f>
        <v>1.4742115038648432E-2</v>
      </c>
      <c r="J15" s="358">
        <f>IF(ISNUMBER((Tasas!D15-Datos!BF15)/Datos!BF15),(Tasas!D15-Datos!BF15)/Datos!BF15," - ")</f>
        <v>-4.8121041205040287E-2</v>
      </c>
      <c r="K15" s="360">
        <f>IF(ISNUMBER((Tasas!E15-Datos!BG15)/Datos!BG15),(Tasas!E15-Datos!BG15)/Datos!BG15," - ")</f>
        <v>-2.0064865449525023E-2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0.50485436893203883</v>
      </c>
      <c r="E17" s="357">
        <f>IF(ISNUMBER(
   IF(D_I="SI",(Datos!J17-Datos!T17)/Datos!T17,(Datos!J17+Datos!AD17-(Datos!T17+Datos!AL17))/(Datos!T17+Datos!AL17))
     ),IF(D_I="SI",(Datos!J17-Datos!T17)/Datos!T17,(Datos!J17+Datos!AD17-(Datos!T17+Datos!AL17))/(Datos!T17+Datos!AL17))," - ")</f>
        <v>0.84297520661157022</v>
      </c>
      <c r="F17" s="357">
        <f>IF(ISNUMBER(
   IF(D_I="SI",(Datos!K17-Datos!U17)/Datos!U17,(Datos!K17+Datos!AE17-(Datos!U17+Datos!AM17))/(Datos!U17+Datos!AM17))
     ),IF(D_I="SI",(Datos!K17-Datos!U17)/Datos!U17,(Datos!K17+Datos!AE17-(Datos!U17+Datos!AM17))/(Datos!U17+Datos!AM17))," - ")</f>
        <v>0.72573839662447259</v>
      </c>
      <c r="G17" s="358">
        <f>IF(ISNUMBER(
   IF(D_I="SI",(Datos!L17-Datos!V17)/Datos!V17,(Datos!L17+Datos!AF17-(Datos!V17+Datos!AN17))/(Datos!V17+Datos!AN17))
     ),IF(D_I="SI",(Datos!L17-Datos!V17)/Datos!V17,(Datos!L17+Datos!AF17-(Datos!V17+Datos!AN17))/(Datos!V17+Datos!AN17))," - ")</f>
        <v>0.77777777777777779</v>
      </c>
      <c r="H17" s="234">
        <f>IF(ISNUMBER((Datos!M17-Datos!W17)/Datos!W17),(Datos!M17-Datos!W17)/Datos!W17," - ")</f>
        <v>0.9</v>
      </c>
      <c r="I17" s="359">
        <f>IF(ISNUMBER((Tasas!C17-Datos!BE17)/Datos!BE17),(Tasas!C17-Datos!BE17)/Datos!BE17," - ")</f>
        <v>3.0154849225753899E-2</v>
      </c>
      <c r="J17" s="358">
        <f>IF(ISNUMBER((Tasas!D17-Datos!BF17)/Datos!BF17),(Tasas!D17-Datos!BF17)/Datos!BF17," - ")</f>
        <v>0.10097799511002441</v>
      </c>
      <c r="K17" s="360">
        <f>IF(ISNUMBER((Tasas!E17-Datos!BG17)/Datos!BG17),(Tasas!E17-Datos!BG17)/Datos!BG17," - ")</f>
        <v>9.4397788880620521E-3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0.20958373668925459</v>
      </c>
      <c r="E18" s="363">
        <f>IF(ISNUMBER(
   IF(D_I="SI",(Datos!J18-Datos!T18)/Datos!T18,(Datos!J18+Datos!AD18-(Datos!T18+Datos!AL18))/(Datos!T18+Datos!AL18))
     ),IF(D_I="SI",(Datos!J18-Datos!T18)/Datos!T18,(Datos!J18+Datos!AD18-(Datos!T18+Datos!AL18))/(Datos!T18+Datos!AL18))," - ")</f>
        <v>-7.6062639821029079E-3</v>
      </c>
      <c r="F18" s="363">
        <f>IF(ISNUMBER(
   IF(D_I="SI",(Datos!K18-Datos!U18)/Datos!U18,(Datos!K18+Datos!AE18-(Datos!U18+Datos!AM18))/(Datos!U18+Datos!AM18))
     ),IF(D_I="SI",(Datos!K18-Datos!U18)/Datos!U18,(Datos!K18+Datos!AE18-(Datos!U18+Datos!AM18))/(Datos!U18+Datos!AM18))," - ")</f>
        <v>0.13913470993117011</v>
      </c>
      <c r="G18" s="364">
        <f>IF(ISNUMBER(
   IF(D_I="SI",(Datos!L18-Datos!V18)/Datos!V18,(Datos!L18+Datos!AF18-(Datos!V18+Datos!AN18))/(Datos!V18+Datos!AN18))
     ),IF(D_I="SI",(Datos!L18-Datos!V18)/Datos!V18,(Datos!L18+Datos!AF18-(Datos!V18+Datos!AN18))/(Datos!V18+Datos!AN18))," - ")</f>
        <v>0.11071901191001324</v>
      </c>
      <c r="H18" s="365">
        <f>IF(ISNUMBER((Datos!M18-Datos!W18)/Datos!W18),(Datos!M18-Datos!W18)/Datos!W18," - ")</f>
        <v>9.6463022508038579E-2</v>
      </c>
      <c r="I18" s="366">
        <f>IF(ISNUMBER((Tasas!C18-Datos!BE18)/Datos!BE18),(Tasas!C18-Datos!BE18)/Datos!BE18," - ")</f>
        <v>-2.4944984797165805E-2</v>
      </c>
      <c r="J18" s="364">
        <f>IF(ISNUMBER((Tasas!D18-Datos!BF18)/Datos!BF18),(Tasas!D18-Datos!BF18)/Datos!BF18," - ")</f>
        <v>-3.7459737686080942E-2</v>
      </c>
      <c r="K18" s="367">
        <f>IF(ISNUMBER((Tasas!E18-Datos!BG18)/Datos!BG18),(Tasas!E18-Datos!BG18)/Datos!BG18," - ")</f>
        <v>-3.7232661714005542E-2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0.23472404730617608</v>
      </c>
      <c r="E19" s="372">
        <f>IF(ISNUMBER(
   IF(J_V="SI",(Datos!J19-Datos!T19)/Datos!T19,(Datos!J19+Datos!Z19-(Datos!T19+Datos!AH19))/(Datos!T19+Datos!AH19))
     ),IF(J_V="SI",(Datos!J19-Datos!T19)/Datos!T19,(Datos!J19+Datos!Z19-(Datos!T19+Datos!AH19))/(Datos!T19+Datos!AH19))," - ")</f>
        <v>4.6389035318924618E-2</v>
      </c>
      <c r="F19" s="372">
        <f>IF(ISNUMBER(
   IF(J_V="SI",(Datos!K19-Datos!U19)/Datos!U19,(Datos!K19+Datos!AA19-(Datos!U19+Datos!AI19))/(Datos!U19+Datos!AI19))
     ),IF(J_V="SI",(Datos!K19-Datos!U19)/Datos!U19,(Datos!K19+Datos!AA19-(Datos!U19+Datos!AI19))/(Datos!U19+Datos!AI19))," - ")</f>
        <v>0.18233618233618235</v>
      </c>
      <c r="G19" s="373">
        <f>IF(ISNUMBER(
   IF(J_V="SI",(Datos!L19-Datos!V19)/Datos!V19,(Datos!L19+Datos!AB19-(Datos!V19+Datos!AJ19))/(Datos!V19+Datos!AJ19))
     ),IF(J_V="SI",(Datos!L19-Datos!V19)/Datos!V19,(Datos!L19+Datos!AB19-(Datos!V19+Datos!AJ19))/(Datos!V19+Datos!AJ19))," - ")</f>
        <v>0.27992459943449577</v>
      </c>
      <c r="H19" s="374">
        <f>IF(ISNUMBER((Datos!M19-Datos!W19)/Datos!W19),(Datos!M19-Datos!W19)/Datos!W19," - ")</f>
        <v>9.2382495948136148E-2</v>
      </c>
      <c r="I19" s="371">
        <f>IF(ISNUMBER((Tasas!C19-Datos!BE19)/Datos!BE19),(Tasas!C19-Datos!BE19)/Datos!BE19," - ")</f>
        <v>8.2538637112067464E-2</v>
      </c>
      <c r="J19" s="372">
        <f>IF(ISNUMBER((Tasas!D19-Datos!BF19)/Datos!BF19),(Tasas!D19-Datos!BF19)/Datos!BF19," - ")</f>
        <v>-0.3993068163063212</v>
      </c>
      <c r="K19" s="373">
        <f>IF(ISNUMBER((Tasas!E19-Datos!BG19)/Datos!BG19),(Tasas!E19-Datos!BG19)/Datos!BG19," - ")</f>
        <v>-1.6847718743827809E-2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0.20699908949752011</v>
      </c>
      <c r="E21" s="282">
        <f t="shared" si="1"/>
        <v>0.46346479791513245</v>
      </c>
      <c r="F21" s="282">
        <f t="shared" si="1"/>
        <v>0.29913702880841614</v>
      </c>
      <c r="G21" s="283">
        <f t="shared" si="1"/>
        <v>0.31320900564914356</v>
      </c>
      <c r="H21" s="289">
        <f t="shared" si="1"/>
        <v>0.43371615803702013</v>
      </c>
      <c r="I21" s="281">
        <f t="shared" si="1"/>
        <v>9.4812838680851302E-2</v>
      </c>
      <c r="J21" s="282">
        <f t="shared" si="1"/>
        <v>0.32832219044104471</v>
      </c>
      <c r="K21" s="283">
        <f t="shared" si="1"/>
        <v>6.9016943526321081E-2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bx91pZv2iBo019ZoanppdNE61Hi1SAsIGnggi4MarUbL8Ni/FMK1ca9Z8Oy65lzl1fCXnaVjDMJDhC71v7o/A==" saltValue="TkyVmmGXzP0s4qzYb2OA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